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6380" windowHeight="8190" activeTab="3"/>
  </bookViews>
  <sheets>
    <sheet name="Volumes etc." sheetId="1" r:id="rId1"/>
    <sheet name="Grain Bill" sheetId="2" r:id="rId2"/>
    <sheet name="Hop Bill" sheetId="3" r:id="rId3"/>
    <sheet name="Efficiency Calculator" sheetId="4" r:id="rId4"/>
  </sheets>
  <calcPr calcId="125725"/>
</workbook>
</file>

<file path=xl/calcChain.xml><?xml version="1.0" encoding="utf-8"?>
<calcChain xmlns="http://schemas.openxmlformats.org/spreadsheetml/2006/main">
  <c r="C12" i="3"/>
  <c r="C13"/>
  <c r="C14"/>
  <c r="C15"/>
  <c r="C16"/>
  <c r="C17"/>
  <c r="C11"/>
  <c r="E6" i="2"/>
  <c r="E7"/>
  <c r="E8"/>
  <c r="E5"/>
  <c r="D17" i="1"/>
  <c r="D15"/>
  <c r="D14"/>
  <c r="D13"/>
  <c r="D11"/>
  <c r="D8"/>
  <c r="D7"/>
  <c r="D6"/>
  <c r="D5"/>
  <c r="C5" i="4"/>
  <c r="D5"/>
  <c r="E5"/>
  <c r="F5"/>
  <c r="G5"/>
  <c r="C6"/>
  <c r="D6"/>
  <c r="E6"/>
  <c r="F6"/>
  <c r="G6"/>
  <c r="C7"/>
  <c r="D7"/>
  <c r="E7"/>
  <c r="F7"/>
  <c r="G7"/>
  <c r="B8"/>
  <c r="C8"/>
  <c r="D8"/>
  <c r="E8"/>
  <c r="F8"/>
  <c r="G8"/>
  <c r="C10"/>
  <c r="D10"/>
  <c r="E10"/>
  <c r="F10"/>
  <c r="G10"/>
  <c r="C14"/>
  <c r="D14"/>
  <c r="E14"/>
  <c r="F14"/>
  <c r="G14"/>
  <c r="B15"/>
  <c r="C15"/>
  <c r="D15"/>
  <c r="D20" s="1"/>
  <c r="E15"/>
  <c r="F15"/>
  <c r="G15"/>
  <c r="J19"/>
  <c r="J20"/>
  <c r="J21"/>
  <c r="J22"/>
  <c r="G6" i="2"/>
  <c r="G7"/>
  <c r="G8"/>
  <c r="G9"/>
  <c r="G10"/>
  <c r="G11"/>
  <c r="G12"/>
  <c r="H5" i="3"/>
  <c r="F20"/>
  <c r="M5" i="1"/>
  <c r="B6"/>
  <c r="M6"/>
  <c r="B7"/>
  <c r="B7" i="4" s="1"/>
  <c r="M7" i="1"/>
  <c r="B8"/>
  <c r="M8"/>
  <c r="B11"/>
  <c r="B6" i="4" s="1"/>
  <c r="M11" i="1"/>
  <c r="M12"/>
  <c r="M13"/>
  <c r="B14"/>
  <c r="B15" s="1"/>
  <c r="B17" s="1"/>
  <c r="M14"/>
  <c r="M15"/>
  <c r="M16"/>
  <c r="B18"/>
  <c r="B10" i="4" s="1"/>
  <c r="M18" i="1"/>
  <c r="B19"/>
  <c r="D19" s="1"/>
  <c r="M19"/>
  <c r="M20"/>
  <c r="B27"/>
  <c r="D18" l="1"/>
  <c r="G20" i="4"/>
  <c r="E20"/>
  <c r="C20"/>
  <c r="G19"/>
  <c r="E19"/>
  <c r="C19"/>
  <c r="F19"/>
  <c r="E22"/>
  <c r="E21"/>
  <c r="D19"/>
  <c r="G22"/>
  <c r="C22"/>
  <c r="G21"/>
  <c r="C21"/>
  <c r="F20"/>
  <c r="B20" i="1"/>
  <c r="D20" s="1"/>
  <c r="B16"/>
  <c r="B28"/>
  <c r="B5" i="4"/>
  <c r="B20"/>
  <c r="H6"/>
  <c r="N8" i="3"/>
  <c r="H5" i="2"/>
  <c r="H5" i="4"/>
  <c r="F22"/>
  <c r="D22"/>
  <c r="B22"/>
  <c r="F21"/>
  <c r="D21"/>
  <c r="H8" s="1"/>
  <c r="B21"/>
  <c r="H10" i="2" l="1"/>
  <c r="J10" s="1"/>
  <c r="J5"/>
  <c r="H14" i="4"/>
  <c r="H22"/>
  <c r="B21" i="1"/>
  <c r="D21" s="1"/>
  <c r="B29"/>
  <c r="B30" s="1"/>
  <c r="F29"/>
  <c r="F26" s="1"/>
  <c r="F28" s="1"/>
  <c r="B14" i="4"/>
  <c r="B19" s="1"/>
  <c r="G5" i="3"/>
  <c r="I5" s="1"/>
  <c r="H10" i="4"/>
  <c r="H19"/>
  <c r="H21"/>
  <c r="H7" i="2"/>
  <c r="J7" s="1"/>
  <c r="H11"/>
  <c r="J11" s="1"/>
  <c r="H8"/>
  <c r="J8" s="1"/>
  <c r="H12"/>
  <c r="J12" s="1"/>
  <c r="H7" i="4"/>
  <c r="H15"/>
  <c r="H20"/>
  <c r="H9" i="2"/>
  <c r="J9" s="1"/>
  <c r="H6"/>
  <c r="J6" s="1"/>
  <c r="N11" i="3" l="1"/>
  <c r="N12"/>
  <c r="J12" s="1"/>
  <c r="K12" s="1"/>
  <c r="N13"/>
  <c r="J13" s="1"/>
  <c r="K13" s="1"/>
  <c r="N14"/>
  <c r="J14" s="1"/>
  <c r="K14" s="1"/>
  <c r="N15"/>
  <c r="J15" s="1"/>
  <c r="K15" s="1"/>
  <c r="N16"/>
  <c r="J16" s="1"/>
  <c r="K16" s="1"/>
  <c r="N17"/>
  <c r="J17" s="1"/>
  <c r="K17" s="1"/>
  <c r="I27" i="1"/>
  <c r="I29"/>
  <c r="F27"/>
  <c r="I28"/>
  <c r="I30"/>
  <c r="F30"/>
  <c r="J11" i="3" l="1"/>
  <c r="K11" s="1"/>
  <c r="N20"/>
</calcChain>
</file>

<file path=xl/sharedStrings.xml><?xml version="1.0" encoding="utf-8"?>
<sst xmlns="http://schemas.openxmlformats.org/spreadsheetml/2006/main" count="229" uniqueCount="141">
  <si>
    <t>BIABRewer Volumes &amp; Grain Bill Calculator</t>
  </si>
  <si>
    <t>Figures in Red Are the Only Figures That Should Be Changed By New BIABrewers. Some explanatory notes are provided at the bottom of the spreadsheet.</t>
  </si>
  <si>
    <t>A. MEASUREMENT</t>
  </si>
  <si>
    <t>Units</t>
  </si>
  <si>
    <t>Comment</t>
  </si>
  <si>
    <t>Actual 1</t>
  </si>
  <si>
    <t>Actual 2</t>
  </si>
  <si>
    <t>Actual 3</t>
  </si>
  <si>
    <t>Actual 4</t>
  </si>
  <si>
    <t>Actual 5</t>
  </si>
  <si>
    <t>Average</t>
  </si>
  <si>
    <t>Brew Length</t>
  </si>
  <si>
    <t>lts</t>
  </si>
  <si>
    <t>How much beer you want to end up with.</t>
  </si>
  <si>
    <t>Fermenter Trub*</t>
  </si>
  <si>
    <t>Volume left in fermenter after kegging/bottling.</t>
  </si>
  <si>
    <t>Volume into Fermenter</t>
  </si>
  <si>
    <t>End of boil volume less kettle trub &amp; buffer.</t>
  </si>
  <si>
    <t>Kettle Trub &amp; Buffer*</t>
  </si>
  <si>
    <t>Grain &amp; hop trub plus some breathing space!</t>
  </si>
  <si>
    <t>End of Boil Efficiency*</t>
  </si>
  <si>
    <t>%</t>
  </si>
  <si>
    <t>Derived from a collection of brewers' records.</t>
  </si>
  <si>
    <t>End of Boil Gravity (OG)</t>
  </si>
  <si>
    <t>Deg.</t>
  </si>
  <si>
    <t>Derived from your recipe or beer style.</t>
  </si>
  <si>
    <t>End of Boil Volume</t>
  </si>
  <si>
    <t>The first point at which OG can be established.</t>
  </si>
  <si>
    <t>Boil Length</t>
  </si>
  <si>
    <t>min</t>
  </si>
  <si>
    <t>90 minutes recommended.</t>
  </si>
  <si>
    <t>Diameter of Kettle</t>
  </si>
  <si>
    <t>cms</t>
  </si>
  <si>
    <t>The widest diameter of your kettle.</t>
  </si>
  <si>
    <t>Evaporation Per Hour*</t>
  </si>
  <si>
    <t>lts/hr</t>
  </si>
  <si>
    <t xml:space="preserve">Stays fairly constant regardless of batch size. </t>
  </si>
  <si>
    <t>Evaporation for this Brew</t>
  </si>
  <si>
    <t>Derived from boil length &amp; evaporation per hr.</t>
  </si>
  <si>
    <t>Expected Start of Boil Gravity</t>
  </si>
  <si>
    <t>Derived from grain bill and pre-boil volume.</t>
  </si>
  <si>
    <t>Start of Boil Volume</t>
  </si>
  <si>
    <t>End of boil volume plus evap, for this brew.</t>
  </si>
  <si>
    <t>Grain Bill Required</t>
  </si>
  <si>
    <t>grams</t>
  </si>
  <si>
    <t>Grams of grain needed in this brew.</t>
  </si>
  <si>
    <t>Grain Absorption*</t>
  </si>
  <si>
    <t>How much liquid is retained in the spent grain.</t>
  </si>
  <si>
    <t>Water Required is...</t>
  </si>
  <si>
    <t>How much water you need for this brew.</t>
  </si>
  <si>
    <t>Approximate Mash Volume</t>
  </si>
  <si>
    <t>Approximate volume of your mash.</t>
  </si>
  <si>
    <t>B. HANDY TEMPERATURE-ADJUSTED FIGURES (Straight-Sided Kettles Only)</t>
  </si>
  <si>
    <t>C. YOUR ACTUALS CALCULATOR (Straight-Sided Kettles Only)</t>
  </si>
  <si>
    <t>Lts</t>
  </si>
  <si>
    <t>Cms</t>
  </si>
  <si>
    <t>Record cms then transfer the blue figures to the actuals above.</t>
  </si>
  <si>
    <t>Kettle Calibration Figure</t>
  </si>
  <si>
    <t>=</t>
  </si>
  <si>
    <t>Based on water temp. of 20 deg. celsius.</t>
  </si>
  <si>
    <t>Based on water temp. of 100 deg. celsius.</t>
  </si>
  <si>
    <t>Water Required (at mash temp)</t>
  </si>
  <si>
    <t>Based on water temp. of 65 deg. celsius.</t>
  </si>
  <si>
    <t xml:space="preserve"> </t>
  </si>
  <si>
    <t>NOTES ON SECTION A - MEASUREMENT</t>
  </si>
  <si>
    <t>This section is the guts of the spreadsheet. Asterixed figures below need to be adjusted for your equipment so, for your first 5 BIABs, try to do brews with similiar brew lenghts and grain bills. After this, adjust or ask for help to adjust some of the formulas to suit your set-up.</t>
  </si>
  <si>
    <t>Asterixed Figures</t>
  </si>
  <si>
    <t>Figures with any asterixes need to be adjusted for your equipment so measure these carefully for 5 or more brews.</t>
  </si>
  <si>
    <t xml:space="preserve">The formula used here is 8% of the brew length and is a fairly safe figure. Change it if you have a continual discrepancy. </t>
  </si>
  <si>
    <t>This figure varies considerably depending on the brewer, their equipment and method. The formula above gives you a very safe place to start and should be reduced gradually if appropriate.</t>
  </si>
  <si>
    <t>Evaporation per Hour*</t>
  </si>
  <si>
    <t>The formula used here is based on kettle surface area. It is a better formula to use than the standard 15% per hour often quoted but is one figure you can quickly and confidently tune up as it mainly depends on your kettle.</t>
  </si>
  <si>
    <t>More information on this figure can be found on the last sheet of this spreadsheet.</t>
  </si>
  <si>
    <t>This figure, as are some of the above, is based on a collection of figures provided by BIABrewers which averaged 628mls of liquor being retained by every kilogram of grain. This is a figure yielded with little squeezing but still gives a high efficiency so hesitate before playing with it.</t>
  </si>
  <si>
    <t>Different grains differ in their yields. This calculation is based on an average grain potential figure.</t>
  </si>
  <si>
    <t>Total Mash Volume</t>
  </si>
  <si>
    <t xml:space="preserve">This figure gives you a close guide as to how much kettle space your grain and water will take up.  </t>
  </si>
  <si>
    <t>NOTES ON SECTION B - HANDY TEMPERATURE-ADJUSTED FIGURES (Straight-Sided Kettles Only)</t>
  </si>
  <si>
    <t>This section is very useful for BIABrewers who use straight-sided kettles. The figures tell the brewer how many cms of liquid should be added to or measured from the kettle and have been adjusted to useful temperatures. These measurements cannot be used for kettles with uneven sides such as kegs.</t>
  </si>
  <si>
    <t>NOTES ON SECTION C - YOUR ACTUALS CALCULATOR (Straight-Sided Kettles Only)</t>
  </si>
  <si>
    <t>Once again this is only for BIABrewers who use straight-sided kettles. For each brew of similiar brew length and grain bill, the brewer can use a ruler to record the depth of water/wort and the spreadsheet automatically displays the temperature-adjusted volume in blue. The blue figures then need to be manually transferred to the Actuals columns in Section A of the spreadsheet.</t>
  </si>
  <si>
    <t>copyright - BIABrewer.info 2010</t>
  </si>
  <si>
    <t>BIABrewer Grain Bill Calculator</t>
  </si>
  <si>
    <t>Original Recipe</t>
  </si>
  <si>
    <t>Scaled Recipe</t>
  </si>
  <si>
    <t>Grain Name</t>
  </si>
  <si>
    <t>Percent</t>
  </si>
  <si>
    <t>OR</t>
  </si>
  <si>
    <t>Weight (g)</t>
  </si>
  <si>
    <t>*</t>
  </si>
  <si>
    <t>Grain 1</t>
  </si>
  <si>
    <t>Grain 2</t>
  </si>
  <si>
    <t>Grain 3</t>
  </si>
  <si>
    <t>Grain 4</t>
  </si>
  <si>
    <t>Grain 5</t>
  </si>
  <si>
    <t>Grain 6</t>
  </si>
  <si>
    <t>Grain 7</t>
  </si>
  <si>
    <t>* Carried over from Volumes etc.</t>
  </si>
  <si>
    <t>BIABrewer Hop Bill Calculator</t>
  </si>
  <si>
    <t>Recipe Gravities</t>
  </si>
  <si>
    <t>Pre-Boil</t>
  </si>
  <si>
    <t>Original</t>
  </si>
  <si>
    <t>End of Boil Volume (lts):</t>
  </si>
  <si>
    <t>Hop Name</t>
  </si>
  <si>
    <t>Grams</t>
  </si>
  <si>
    <t>AA%</t>
  </si>
  <si>
    <t>IBU</t>
  </si>
  <si>
    <t>Time</t>
  </si>
  <si>
    <t>Hop 1</t>
  </si>
  <si>
    <t>Hop 2</t>
  </si>
  <si>
    <t>Hop 3</t>
  </si>
  <si>
    <t>Hop 4</t>
  </si>
  <si>
    <t>Hop 5</t>
  </si>
  <si>
    <t>Hop 6</t>
  </si>
  <si>
    <t>Hop 7</t>
  </si>
  <si>
    <t>Total</t>
  </si>
  <si>
    <t>IBUs</t>
  </si>
  <si>
    <t>BIABrewer Efficiency Calculator (Using Volume and Gravity Measurements)</t>
  </si>
  <si>
    <t>Volume (lts)</t>
  </si>
  <si>
    <t>Current Brew*</t>
  </si>
  <si>
    <t>Scratch Pad***</t>
  </si>
  <si>
    <t>Volume Into Fermenter</t>
  </si>
  <si>
    <t>Grain Bill (grams)</t>
  </si>
  <si>
    <t>Gravities</t>
  </si>
  <si>
    <t>Start of Boil Gravity</t>
  </si>
  <si>
    <t>Your Efficiencies Are...</t>
  </si>
  <si>
    <t>Efficiency "Into Kettle"</t>
  </si>
  <si>
    <t>End of Boil Efficiency**</t>
  </si>
  <si>
    <t>Efficiency "Into Fermenter"</t>
  </si>
  <si>
    <t>Efficiency "Packaging"</t>
  </si>
  <si>
    <t>* These figures are carried over from Volumes &amp; Grain Bill</t>
  </si>
  <si>
    <t>Actual 1 - 5 are carried over from Volumes &amp; Grain Bill</t>
  </si>
  <si>
    <t>* End of Boil Efficiency is the main efficiency figure to use. It is the one used in the first sheet of this spreadsheet.</t>
  </si>
  <si>
    <t>*** Here you can play around with different volumes and gravuty figures</t>
  </si>
  <si>
    <t>GAL</t>
  </si>
  <si>
    <t>LBS</t>
  </si>
  <si>
    <t>GAL/HR</t>
  </si>
  <si>
    <t>Weight LBS</t>
  </si>
  <si>
    <t>Weight lb</t>
  </si>
  <si>
    <t>Ounces</t>
  </si>
  <si>
    <t>1gm=0.0352739619 ounces</t>
  </si>
</sst>
</file>

<file path=xl/styles.xml><?xml version="1.0" encoding="utf-8"?>
<styleSheet xmlns="http://schemas.openxmlformats.org/spreadsheetml/2006/main">
  <numFmts count="3">
    <numFmt numFmtId="164" formatCode="0.000"/>
    <numFmt numFmtId="165" formatCode="0.0"/>
    <numFmt numFmtId="167" formatCode="0.0000"/>
  </numFmts>
  <fonts count="18">
    <font>
      <sz val="11"/>
      <color indexed="8"/>
      <name val="Calibri"/>
      <family val="2"/>
    </font>
    <font>
      <b/>
      <sz val="13"/>
      <color indexed="8"/>
      <name val="Calibri"/>
      <family val="2"/>
    </font>
    <font>
      <sz val="11"/>
      <color indexed="10"/>
      <name val="Calibri"/>
      <family val="2"/>
    </font>
    <font>
      <b/>
      <sz val="11"/>
      <color indexed="8"/>
      <name val="Calibri"/>
      <family val="2"/>
    </font>
    <font>
      <sz val="11"/>
      <name val="Calibri"/>
      <family val="2"/>
    </font>
    <font>
      <i/>
      <sz val="11"/>
      <name val="Calibri"/>
      <family val="2"/>
    </font>
    <font>
      <sz val="11"/>
      <color indexed="56"/>
      <name val="Calibri"/>
      <family val="2"/>
    </font>
    <font>
      <u/>
      <sz val="11"/>
      <color indexed="12"/>
      <name val="Calibri"/>
      <family val="2"/>
    </font>
    <font>
      <b/>
      <u/>
      <sz val="11"/>
      <color indexed="12"/>
      <name val="Calibri"/>
      <family val="2"/>
    </font>
    <font>
      <b/>
      <sz val="11"/>
      <name val="Calibri"/>
      <family val="2"/>
    </font>
    <font>
      <b/>
      <sz val="9"/>
      <color indexed="59"/>
      <name val="Trebuchet MS"/>
      <family val="2"/>
    </font>
    <font>
      <i/>
      <sz val="11"/>
      <color indexed="56"/>
      <name val="Calibri"/>
      <family val="2"/>
    </font>
    <font>
      <b/>
      <sz val="9"/>
      <name val="Trebuchet MS"/>
      <family val="2"/>
    </font>
    <font>
      <i/>
      <sz val="11"/>
      <color indexed="8"/>
      <name val="Calibri"/>
      <family val="2"/>
    </font>
    <font>
      <b/>
      <u/>
      <sz val="11"/>
      <color indexed="8"/>
      <name val="Calibri"/>
      <family val="2"/>
    </font>
    <font>
      <b/>
      <sz val="11"/>
      <color indexed="10"/>
      <name val="Calibri"/>
      <family val="2"/>
    </font>
    <font>
      <u/>
      <sz val="11"/>
      <color indexed="8"/>
      <name val="Calibri"/>
      <family val="2"/>
    </font>
    <font>
      <sz val="11"/>
      <color rgb="FFFF0000"/>
      <name val="Calibri"/>
      <family val="2"/>
    </font>
  </fonts>
  <fills count="3">
    <fill>
      <patternFill patternType="none"/>
    </fill>
    <fill>
      <patternFill patternType="gray125"/>
    </fill>
    <fill>
      <patternFill patternType="solid">
        <fgColor indexed="42"/>
        <bgColor indexed="27"/>
      </patternFill>
    </fill>
  </fills>
  <borders count="1">
    <border>
      <left/>
      <right/>
      <top/>
      <bottom/>
      <diagonal/>
    </border>
  </borders>
  <cellStyleXfs count="2">
    <xf numFmtId="0" fontId="0" fillId="0" borderId="0"/>
    <xf numFmtId="0" fontId="7" fillId="0" borderId="0" applyNumberFormat="0" applyFill="0" applyBorder="0" applyAlignment="0" applyProtection="0"/>
  </cellStyleXfs>
  <cellXfs count="89">
    <xf numFmtId="0" fontId="0" fillId="0" borderId="0" xfId="0"/>
    <xf numFmtId="0" fontId="3" fillId="0" borderId="0" xfId="0" applyFont="1"/>
    <xf numFmtId="2" fontId="2" fillId="2" borderId="0" xfId="0" applyNumberFormat="1" applyFont="1" applyFill="1"/>
    <xf numFmtId="2" fontId="4" fillId="0" borderId="0" xfId="0" applyNumberFormat="1" applyFont="1"/>
    <xf numFmtId="0" fontId="6" fillId="2" borderId="0" xfId="0" applyFont="1" applyFill="1"/>
    <xf numFmtId="0" fontId="8" fillId="0" borderId="0" xfId="1" applyNumberFormat="1" applyFont="1" applyFill="1" applyBorder="1" applyAlignment="1" applyProtection="1"/>
    <xf numFmtId="2" fontId="4" fillId="2" borderId="0" xfId="0" applyNumberFormat="1" applyFont="1" applyFill="1"/>
    <xf numFmtId="2" fontId="0" fillId="0" borderId="0" xfId="0" applyNumberFormat="1"/>
    <xf numFmtId="164" fontId="2" fillId="2" borderId="0" xfId="0" applyNumberFormat="1" applyFont="1" applyFill="1"/>
    <xf numFmtId="1" fontId="4" fillId="0" borderId="0" xfId="0" applyNumberFormat="1" applyFont="1"/>
    <xf numFmtId="164" fontId="0" fillId="0" borderId="0" xfId="0" applyNumberFormat="1"/>
    <xf numFmtId="1" fontId="3" fillId="0" borderId="0" xfId="0" applyNumberFormat="1" applyFont="1"/>
    <xf numFmtId="2" fontId="3" fillId="0" borderId="0" xfId="0" applyNumberFormat="1" applyFont="1"/>
    <xf numFmtId="2" fontId="9" fillId="0" borderId="0" xfId="0" applyNumberFormat="1" applyFont="1"/>
    <xf numFmtId="2" fontId="10" fillId="0" borderId="0" xfId="0" applyNumberFormat="1" applyFont="1"/>
    <xf numFmtId="2" fontId="3" fillId="0" borderId="0" xfId="0" applyNumberFormat="1" applyFont="1" applyAlignment="1">
      <alignment horizontal="right"/>
    </xf>
    <xf numFmtId="2" fontId="9" fillId="0" borderId="0" xfId="0" applyNumberFormat="1" applyFont="1" applyAlignment="1">
      <alignment horizontal="right"/>
    </xf>
    <xf numFmtId="0" fontId="5" fillId="0" borderId="0" xfId="0" applyFont="1"/>
    <xf numFmtId="0" fontId="0" fillId="0" borderId="0" xfId="0" applyFont="1"/>
    <xf numFmtId="0" fontId="0" fillId="0" borderId="0" xfId="0" applyFont="1" applyAlignment="1">
      <alignment horizontal="center"/>
    </xf>
    <xf numFmtId="0" fontId="5" fillId="0" borderId="0" xfId="0" applyFont="1" applyAlignment="1">
      <alignment horizontal="left" indent="1"/>
    </xf>
    <xf numFmtId="0" fontId="3" fillId="0" borderId="0" xfId="0" applyFont="1" applyAlignment="1">
      <alignment horizontal="right"/>
    </xf>
    <xf numFmtId="165" fontId="0" fillId="0" borderId="0" xfId="0" applyNumberFormat="1" applyFont="1"/>
    <xf numFmtId="165" fontId="9" fillId="0" borderId="0" xfId="0" applyNumberFormat="1" applyFont="1"/>
    <xf numFmtId="165" fontId="2" fillId="2" borderId="0" xfId="0" applyNumberFormat="1" applyFont="1" applyFill="1"/>
    <xf numFmtId="165" fontId="6" fillId="0" borderId="0" xfId="0" applyNumberFormat="1" applyFont="1"/>
    <xf numFmtId="165" fontId="12" fillId="0" borderId="0" xfId="0" applyNumberFormat="1" applyFont="1"/>
    <xf numFmtId="0" fontId="0" fillId="0" borderId="0" xfId="0" applyAlignment="1">
      <alignment horizontal="left" vertical="top" wrapText="1"/>
    </xf>
    <xf numFmtId="0" fontId="13" fillId="0" borderId="0" xfId="0" applyFont="1"/>
    <xf numFmtId="0" fontId="0" fillId="0" borderId="0" xfId="0" applyAlignment="1">
      <alignment horizontal="left"/>
    </xf>
    <xf numFmtId="0" fontId="3" fillId="0" borderId="0" xfId="0" applyFont="1" applyAlignment="1">
      <alignment horizontal="left"/>
    </xf>
    <xf numFmtId="0" fontId="3" fillId="0" borderId="0" xfId="0" applyFont="1" applyBorder="1" applyAlignment="1">
      <alignment horizontal="center"/>
    </xf>
    <xf numFmtId="0" fontId="3" fillId="0" borderId="0" xfId="0" applyFont="1" applyAlignment="1">
      <alignment horizontal="center"/>
    </xf>
    <xf numFmtId="0" fontId="14" fillId="0" borderId="0" xfId="0" applyFont="1" applyAlignment="1">
      <alignment horizontal="center"/>
    </xf>
    <xf numFmtId="1" fontId="0" fillId="0" borderId="0" xfId="0" applyNumberFormat="1"/>
    <xf numFmtId="0" fontId="2" fillId="2" borderId="0" xfId="0" applyFont="1" applyFill="1"/>
    <xf numFmtId="165" fontId="0" fillId="0" borderId="0" xfId="0" applyNumberFormat="1"/>
    <xf numFmtId="0" fontId="0" fillId="0" borderId="0" xfId="0" applyFont="1" applyAlignment="1"/>
    <xf numFmtId="0" fontId="0" fillId="0" borderId="0" xfId="0" applyFont="1" applyFill="1" applyBorder="1" applyAlignment="1">
      <alignment horizontal="center"/>
    </xf>
    <xf numFmtId="0" fontId="0" fillId="0" borderId="0" xfId="0" applyFont="1" applyFill="1" applyAlignment="1">
      <alignment horizontal="center"/>
    </xf>
    <xf numFmtId="164" fontId="2" fillId="0" borderId="0" xfId="0" applyNumberFormat="1" applyFont="1" applyFill="1" applyAlignment="1">
      <alignment horizontal="center"/>
    </xf>
    <xf numFmtId="164" fontId="3" fillId="0" borderId="0" xfId="0" applyNumberFormat="1" applyFont="1" applyFill="1" applyAlignment="1">
      <alignment horizontal="center"/>
    </xf>
    <xf numFmtId="0" fontId="3" fillId="0" borderId="0" xfId="0" applyFont="1" applyAlignment="1"/>
    <xf numFmtId="0" fontId="3" fillId="0" borderId="0" xfId="0" applyFont="1" applyFill="1" applyAlignment="1"/>
    <xf numFmtId="0" fontId="15" fillId="2" borderId="0" xfId="0" applyFont="1" applyFill="1" applyAlignment="1">
      <alignment horizontal="center"/>
    </xf>
    <xf numFmtId="0" fontId="3" fillId="0" borderId="0" xfId="0" applyFont="1" applyFill="1" applyAlignment="1">
      <alignment horizontal="center"/>
    </xf>
    <xf numFmtId="2" fontId="0" fillId="0" borderId="0" xfId="0" applyNumberFormat="1" applyFill="1"/>
    <xf numFmtId="0" fontId="0" fillId="0" borderId="0" xfId="0" applyFill="1"/>
    <xf numFmtId="0" fontId="14" fillId="2" borderId="0" xfId="0" applyFont="1" applyFill="1" applyAlignment="1">
      <alignment horizontal="center"/>
    </xf>
    <xf numFmtId="0" fontId="16" fillId="0" borderId="0" xfId="0" applyFont="1" applyAlignment="1">
      <alignment horizontal="center"/>
    </xf>
    <xf numFmtId="0" fontId="2" fillId="2" borderId="0" xfId="0" applyFont="1" applyFill="1" applyAlignment="1">
      <alignment horizontal="center"/>
    </xf>
    <xf numFmtId="165" fontId="0" fillId="2" borderId="0" xfId="0" applyNumberFormat="1" applyFill="1"/>
    <xf numFmtId="0" fontId="0" fillId="0" borderId="0" xfId="0" applyNumberFormat="1"/>
    <xf numFmtId="0" fontId="1" fillId="0" borderId="0" xfId="0" applyFont="1"/>
    <xf numFmtId="0" fontId="0" fillId="0" borderId="0" xfId="0" applyAlignment="1">
      <alignment vertical="top"/>
    </xf>
    <xf numFmtId="2" fontId="4" fillId="0" borderId="0" xfId="0" applyNumberFormat="1" applyFont="1" applyFill="1"/>
    <xf numFmtId="0" fontId="2" fillId="0" borderId="0" xfId="0" applyFont="1"/>
    <xf numFmtId="0" fontId="4" fillId="0" borderId="0" xfId="0" applyFont="1" applyFill="1"/>
    <xf numFmtId="0" fontId="9" fillId="0" borderId="0" xfId="0" applyFont="1" applyFill="1" applyAlignment="1"/>
    <xf numFmtId="0" fontId="2" fillId="0" borderId="0" xfId="0" applyFont="1" applyAlignment="1"/>
    <xf numFmtId="0" fontId="0" fillId="0" borderId="0" xfId="0" applyAlignment="1"/>
    <xf numFmtId="0" fontId="0" fillId="0" borderId="0" xfId="0" applyFont="1" applyFill="1" applyBorder="1"/>
    <xf numFmtId="0" fontId="3" fillId="0" borderId="0" xfId="0" applyFont="1" applyBorder="1" applyAlignment="1">
      <alignment horizontal="center"/>
    </xf>
    <xf numFmtId="0" fontId="13" fillId="0" borderId="0" xfId="0" applyFont="1" applyBorder="1" applyAlignment="1">
      <alignment horizontal="left" vertical="top" wrapText="1"/>
    </xf>
    <xf numFmtId="0" fontId="0" fillId="0" borderId="0" xfId="0" applyFont="1" applyBorder="1"/>
    <xf numFmtId="0" fontId="3" fillId="0" borderId="0" xfId="0" applyFont="1" applyBorder="1"/>
    <xf numFmtId="0" fontId="0" fillId="0" borderId="0" xfId="0" applyBorder="1"/>
    <xf numFmtId="0" fontId="0" fillId="0" borderId="0" xfId="0" applyFont="1" applyBorder="1" applyAlignment="1">
      <alignment vertical="top" wrapText="1"/>
    </xf>
    <xf numFmtId="0" fontId="0" fillId="0" borderId="0" xfId="0" applyFont="1" applyFill="1" applyBorder="1" applyAlignment="1">
      <alignment horizontal="left" vertical="top" wrapText="1"/>
    </xf>
    <xf numFmtId="0" fontId="0" fillId="0" borderId="0" xfId="0" applyFont="1" applyBorder="1" applyAlignment="1">
      <alignment horizontal="left" vertical="top" wrapText="1"/>
    </xf>
    <xf numFmtId="0" fontId="13" fillId="0" borderId="0" xfId="0" applyFont="1" applyBorder="1" applyAlignment="1">
      <alignment horizontal="left" indent="1"/>
    </xf>
    <xf numFmtId="0" fontId="0" fillId="0" borderId="0" xfId="0" applyFont="1" applyBorder="1" applyAlignment="1">
      <alignment horizontal="left" indent="1"/>
    </xf>
    <xf numFmtId="0" fontId="11" fillId="0" borderId="0" xfId="0" applyFont="1" applyBorder="1" applyAlignment="1">
      <alignment horizontal="left" indent="1"/>
    </xf>
    <xf numFmtId="0" fontId="5" fillId="0" borderId="0" xfId="0" applyFont="1" applyBorder="1"/>
    <xf numFmtId="0" fontId="3" fillId="0" borderId="0" xfId="0" applyFont="1" applyBorder="1" applyAlignment="1">
      <alignment horizontal="left"/>
    </xf>
    <xf numFmtId="0" fontId="3" fillId="0" borderId="0" xfId="0" applyFont="1" applyBorder="1" applyAlignment="1">
      <alignment horizontal="left" indent="1"/>
    </xf>
    <xf numFmtId="0" fontId="5" fillId="0" borderId="0" xfId="0" applyFont="1" applyBorder="1" applyAlignment="1">
      <alignment horizontal="left"/>
    </xf>
    <xf numFmtId="0" fontId="1" fillId="0" borderId="0" xfId="0" applyFont="1" applyBorder="1"/>
    <xf numFmtId="0" fontId="2" fillId="0" borderId="0" xfId="0" applyFont="1" applyBorder="1"/>
    <xf numFmtId="0" fontId="1" fillId="0" borderId="0" xfId="0" applyFont="1" applyBorder="1" applyAlignment="1">
      <alignment horizontal="left"/>
    </xf>
    <xf numFmtId="0" fontId="3" fillId="0" borderId="0" xfId="0" applyFont="1" applyBorder="1" applyAlignment="1">
      <alignment horizontal="center"/>
    </xf>
    <xf numFmtId="0" fontId="3" fillId="0" borderId="0" xfId="0" applyFont="1" applyFill="1" applyBorder="1" applyAlignment="1">
      <alignment horizontal="center"/>
    </xf>
    <xf numFmtId="0" fontId="0" fillId="0" borderId="0" xfId="0" applyFont="1" applyBorder="1" applyAlignment="1">
      <alignment horizontal="right"/>
    </xf>
    <xf numFmtId="0" fontId="0" fillId="0" borderId="0" xfId="0" applyFont="1" applyBorder="1" applyAlignment="1">
      <alignment horizontal="left"/>
    </xf>
    <xf numFmtId="2" fontId="17" fillId="2" borderId="0" xfId="0" applyNumberFormat="1" applyFont="1" applyFill="1"/>
    <xf numFmtId="1" fontId="9" fillId="0" borderId="0" xfId="0" applyNumberFormat="1" applyFont="1"/>
    <xf numFmtId="164" fontId="9" fillId="0" borderId="0" xfId="0" applyNumberFormat="1" applyFont="1"/>
    <xf numFmtId="1" fontId="17" fillId="2" borderId="0" xfId="0" applyNumberFormat="1" applyFont="1" applyFill="1"/>
    <xf numFmtId="167" fontId="2" fillId="0" borderId="0" xfId="1" applyNumberFormat="1" applyFont="1" applyFill="1" applyBorder="1" applyAlignment="1" applyProtection="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1"/>
  <sheetViews>
    <sheetView workbookViewId="0">
      <selection activeCell="H29" sqref="H29"/>
    </sheetView>
  </sheetViews>
  <sheetFormatPr defaultRowHeight="15"/>
  <cols>
    <col min="1" max="1" width="29.140625" customWidth="1"/>
    <col min="2" max="2" width="8.28515625" customWidth="1"/>
    <col min="3" max="6" width="7.28515625" customWidth="1"/>
    <col min="7" max="7" width="38.140625" customWidth="1"/>
    <col min="13" max="13" width="12.28515625" customWidth="1"/>
  </cols>
  <sheetData>
    <row r="1" spans="1:13" ht="17.25">
      <c r="A1" s="77" t="s">
        <v>0</v>
      </c>
      <c r="B1" s="77"/>
      <c r="C1" s="77"/>
      <c r="D1" s="77"/>
      <c r="E1" s="77"/>
      <c r="F1" s="77"/>
      <c r="G1" s="77"/>
      <c r="H1" s="77"/>
      <c r="I1" s="77"/>
      <c r="J1" s="77"/>
      <c r="K1" s="77"/>
      <c r="L1" s="77"/>
      <c r="M1" s="77"/>
    </row>
    <row r="2" spans="1:13">
      <c r="A2" s="78" t="s">
        <v>1</v>
      </c>
      <c r="B2" s="78"/>
      <c r="C2" s="78"/>
      <c r="D2" s="78"/>
      <c r="E2" s="78"/>
      <c r="F2" s="78"/>
      <c r="G2" s="78"/>
      <c r="H2" s="78"/>
      <c r="I2" s="78"/>
      <c r="J2" s="78"/>
      <c r="K2" s="78"/>
      <c r="L2" s="78"/>
      <c r="M2" s="78"/>
    </row>
    <row r="3" spans="1:13" ht="8.25" customHeight="1">
      <c r="A3" s="66"/>
      <c r="B3" s="66"/>
      <c r="C3" s="66"/>
      <c r="D3" s="66"/>
      <c r="E3" s="66"/>
      <c r="F3" s="66"/>
      <c r="G3" s="66"/>
      <c r="H3" s="66"/>
      <c r="I3" s="66"/>
      <c r="J3" s="66"/>
      <c r="K3" s="66"/>
      <c r="L3" s="66"/>
      <c r="M3" s="66"/>
    </row>
    <row r="4" spans="1:13">
      <c r="A4" s="1" t="s">
        <v>2</v>
      </c>
      <c r="B4" s="1"/>
      <c r="C4" s="1" t="s">
        <v>3</v>
      </c>
      <c r="D4" s="1"/>
      <c r="E4" s="1"/>
      <c r="F4" s="65" t="s">
        <v>4</v>
      </c>
      <c r="G4" s="65"/>
      <c r="H4" s="1" t="s">
        <v>5</v>
      </c>
      <c r="I4" s="1" t="s">
        <v>6</v>
      </c>
      <c r="J4" s="1" t="s">
        <v>7</v>
      </c>
      <c r="K4" s="1" t="s">
        <v>8</v>
      </c>
      <c r="L4" s="1" t="s">
        <v>9</v>
      </c>
      <c r="M4" s="1" t="s">
        <v>10</v>
      </c>
    </row>
    <row r="5" spans="1:13">
      <c r="A5" s="1" t="s">
        <v>11</v>
      </c>
      <c r="B5" s="2">
        <v>21</v>
      </c>
      <c r="C5" s="3" t="s">
        <v>12</v>
      </c>
      <c r="D5" s="3">
        <f>B5*0.264172052</f>
        <v>5.5476130919999997</v>
      </c>
      <c r="E5" s="3" t="s">
        <v>134</v>
      </c>
      <c r="F5" s="73" t="s">
        <v>13</v>
      </c>
      <c r="G5" s="73"/>
      <c r="H5" s="4"/>
      <c r="I5" s="4"/>
      <c r="J5" s="4"/>
      <c r="K5" s="4"/>
      <c r="L5" s="4"/>
      <c r="M5" s="5" t="str">
        <f>IF(COUNTBLANK(H5:L5)=5,"",SUM(H5:L5)/COUNT(H5:L18))</f>
        <v/>
      </c>
    </row>
    <row r="6" spans="1:13">
      <c r="A6" t="s">
        <v>14</v>
      </c>
      <c r="B6" s="6">
        <f>B5*0.08</f>
        <v>1.68</v>
      </c>
      <c r="C6" s="3" t="s">
        <v>12</v>
      </c>
      <c r="D6" s="3">
        <f>B6*0.264172052</f>
        <v>0.44380904735999999</v>
      </c>
      <c r="E6" s="3" t="s">
        <v>134</v>
      </c>
      <c r="F6" s="73" t="s">
        <v>15</v>
      </c>
      <c r="G6" s="73"/>
      <c r="H6" s="4"/>
      <c r="I6" s="4"/>
      <c r="J6" s="4"/>
      <c r="K6" s="4"/>
      <c r="L6" s="4"/>
      <c r="M6" s="5" t="str">
        <f>IF(COUNTBLANK(H6:L6)=5,"",SUM(H6:L6)/COUNT(H6:L19))</f>
        <v/>
      </c>
    </row>
    <row r="7" spans="1:13">
      <c r="A7" t="s">
        <v>16</v>
      </c>
      <c r="B7" s="7">
        <f>B5+B6</f>
        <v>22.68</v>
      </c>
      <c r="C7" s="3" t="s">
        <v>12</v>
      </c>
      <c r="D7" s="3">
        <f>B7*0.264172052</f>
        <v>5.99142213936</v>
      </c>
      <c r="E7" s="3" t="s">
        <v>134</v>
      </c>
      <c r="F7" s="73" t="s">
        <v>17</v>
      </c>
      <c r="G7" s="73"/>
      <c r="H7" s="4"/>
      <c r="I7" s="4"/>
      <c r="J7" s="4"/>
      <c r="K7" s="4"/>
      <c r="L7" s="4"/>
      <c r="M7" s="5" t="str">
        <f>IF(COUNTBLANK(H7:L7)=5,"",SUM(H7:L7)/COUNT(H7:L20))</f>
        <v/>
      </c>
    </row>
    <row r="8" spans="1:13">
      <c r="A8" t="s">
        <v>18</v>
      </c>
      <c r="B8" s="6">
        <f>B5*0.18</f>
        <v>3.78</v>
      </c>
      <c r="C8" s="3" t="s">
        <v>12</v>
      </c>
      <c r="D8" s="3">
        <f>B8*0.264172052</f>
        <v>0.99857035655999993</v>
      </c>
      <c r="E8" s="3" t="s">
        <v>134</v>
      </c>
      <c r="F8" s="73" t="s">
        <v>19</v>
      </c>
      <c r="G8" s="73"/>
      <c r="H8" s="4"/>
      <c r="I8" s="4"/>
      <c r="J8" s="4"/>
      <c r="K8" s="4"/>
      <c r="L8" s="4"/>
      <c r="M8" s="5" t="str">
        <f>IF(COUNTBLANK(H8:L8)=5,"",SUM(H8:L8)/COUNT(H8:L30))</f>
        <v/>
      </c>
    </row>
    <row r="9" spans="1:13">
      <c r="A9" t="s">
        <v>20</v>
      </c>
      <c r="B9" s="84">
        <v>80</v>
      </c>
      <c r="C9" s="3" t="s">
        <v>21</v>
      </c>
      <c r="D9" s="3"/>
      <c r="E9" s="3"/>
      <c r="F9" s="76" t="s">
        <v>22</v>
      </c>
      <c r="G9" s="76"/>
      <c r="H9" s="4"/>
      <c r="I9" s="4"/>
      <c r="J9" s="4"/>
      <c r="K9" s="4"/>
      <c r="L9" s="4"/>
      <c r="M9" s="5"/>
    </row>
    <row r="10" spans="1:13">
      <c r="A10" t="s">
        <v>23</v>
      </c>
      <c r="B10" s="8">
        <v>1.0509999999999999</v>
      </c>
      <c r="C10" s="3" t="s">
        <v>24</v>
      </c>
      <c r="D10" s="3"/>
      <c r="E10" s="3"/>
      <c r="F10" s="76" t="s">
        <v>25</v>
      </c>
      <c r="G10" s="76"/>
      <c r="H10" s="4"/>
      <c r="I10" s="4"/>
      <c r="J10" s="4"/>
      <c r="K10" s="4"/>
      <c r="L10" s="4"/>
      <c r="M10" s="5"/>
    </row>
    <row r="11" spans="1:13">
      <c r="A11" t="s">
        <v>26</v>
      </c>
      <c r="B11" s="7">
        <f>B7+B8</f>
        <v>26.46</v>
      </c>
      <c r="C11" s="3" t="s">
        <v>12</v>
      </c>
      <c r="D11" s="3">
        <f>B11*0.264172052</f>
        <v>6.9899924959200002</v>
      </c>
      <c r="E11" s="3" t="s">
        <v>134</v>
      </c>
      <c r="F11" s="73" t="s">
        <v>27</v>
      </c>
      <c r="G11" s="73"/>
      <c r="H11" s="4"/>
      <c r="I11" s="4"/>
      <c r="J11" s="4"/>
      <c r="K11" s="4"/>
      <c r="L11" s="4"/>
      <c r="M11" s="5" t="str">
        <f>IF(COUNTBLANK(H11:L11)=5,"",SUM(H11:L11)/COUNT(H11:L30))</f>
        <v/>
      </c>
    </row>
    <row r="12" spans="1:13">
      <c r="A12" t="s">
        <v>28</v>
      </c>
      <c r="B12" s="87">
        <v>60</v>
      </c>
      <c r="C12" s="9" t="s">
        <v>29</v>
      </c>
      <c r="D12" s="9"/>
      <c r="E12" s="9"/>
      <c r="F12" s="73" t="s">
        <v>30</v>
      </c>
      <c r="G12" s="73"/>
      <c r="H12" s="4"/>
      <c r="I12" s="4"/>
      <c r="J12" s="4"/>
      <c r="K12" s="4"/>
      <c r="L12" s="4"/>
      <c r="M12" s="5" t="str">
        <f>IF(COUNTBLANK(H12:L12)=5,"",SUM(H12:L12)/COUNT(H12:L30))</f>
        <v/>
      </c>
    </row>
    <row r="13" spans="1:13">
      <c r="A13" t="s">
        <v>31</v>
      </c>
      <c r="B13" s="2">
        <v>36</v>
      </c>
      <c r="C13" s="3" t="s">
        <v>32</v>
      </c>
      <c r="D13" s="3">
        <f>B13/2.54</f>
        <v>14.173228346456693</v>
      </c>
      <c r="E13" s="3"/>
      <c r="F13" s="73" t="s">
        <v>33</v>
      </c>
      <c r="G13" s="73"/>
      <c r="H13" s="4"/>
      <c r="I13" s="4"/>
      <c r="J13" s="4"/>
      <c r="K13" s="4"/>
      <c r="L13" s="4"/>
      <c r="M13" s="5" t="str">
        <f>IF(COUNTBLANK(H13:L13)=5,"",SUM(H13:L13)/COUNT(H13:L31))</f>
        <v/>
      </c>
    </row>
    <row r="14" spans="1:13">
      <c r="A14" t="s">
        <v>34</v>
      </c>
      <c r="B14" s="6">
        <f>PI()*(B13/2)*(B13/2)*0.00428</f>
        <v>4.3565093645860378</v>
      </c>
      <c r="C14" s="3" t="s">
        <v>35</v>
      </c>
      <c r="D14" s="3">
        <f>B14*0.264172052</f>
        <v>1.1508680183999096</v>
      </c>
      <c r="E14" s="3" t="s">
        <v>136</v>
      </c>
      <c r="F14" s="73" t="s">
        <v>36</v>
      </c>
      <c r="G14" s="73"/>
      <c r="H14" s="4"/>
      <c r="I14" s="4"/>
      <c r="J14" s="4"/>
      <c r="K14" s="4"/>
      <c r="L14" s="4"/>
      <c r="M14" s="5" t="str">
        <f>IF(COUNTBLANK(H14:L14)=5,"",SUM(H14:L14)/COUNT(H14:L32))</f>
        <v/>
      </c>
    </row>
    <row r="15" spans="1:13">
      <c r="A15" t="s">
        <v>37</v>
      </c>
      <c r="B15" s="7">
        <f>B12/60*B14</f>
        <v>4.3565093645860378</v>
      </c>
      <c r="C15" s="3" t="s">
        <v>12</v>
      </c>
      <c r="D15" s="3">
        <f>B15*0.264172052</f>
        <v>1.1508680183999096</v>
      </c>
      <c r="E15" s="3" t="s">
        <v>134</v>
      </c>
      <c r="F15" s="73" t="s">
        <v>38</v>
      </c>
      <c r="G15" s="73"/>
      <c r="H15" s="4"/>
      <c r="I15" s="4"/>
      <c r="J15" s="4"/>
      <c r="K15" s="4"/>
      <c r="L15" s="4"/>
      <c r="M15" s="5" t="str">
        <f>IF(COUNTBLANK(H15:L15)=5,"",SUM(H15:L15)/COUNT(H15:L33))</f>
        <v/>
      </c>
    </row>
    <row r="16" spans="1:13">
      <c r="A16" t="s">
        <v>39</v>
      </c>
      <c r="B16" s="10">
        <f>((307*B9*(B18/1000))/B17*100/10000000)+1</f>
        <v>1.0437901640330096</v>
      </c>
      <c r="C16" s="3" t="s">
        <v>24</v>
      </c>
      <c r="D16" s="3"/>
      <c r="E16" s="3"/>
      <c r="F16" s="76" t="s">
        <v>40</v>
      </c>
      <c r="G16" s="76"/>
      <c r="H16" s="4"/>
      <c r="I16" s="4"/>
      <c r="J16" s="4"/>
      <c r="K16" s="4"/>
      <c r="L16" s="4"/>
      <c r="M16" s="5" t="str">
        <f>IF(COUNTBLANK(H16:L16)=5,"",SUM(H16:L16)/COUNT(H16:L37))</f>
        <v/>
      </c>
    </row>
    <row r="17" spans="1:13">
      <c r="A17" t="s">
        <v>41</v>
      </c>
      <c r="B17" s="7">
        <f>B11+B15</f>
        <v>30.81650936458604</v>
      </c>
      <c r="C17" s="3" t="s">
        <v>12</v>
      </c>
      <c r="D17" s="3">
        <f>B17*0.264172052</f>
        <v>8.1408605143199093</v>
      </c>
      <c r="E17" s="3" t="s">
        <v>134</v>
      </c>
      <c r="F17" s="73" t="s">
        <v>42</v>
      </c>
      <c r="G17" s="73"/>
      <c r="H17" s="4"/>
      <c r="I17" s="4"/>
      <c r="J17" s="4"/>
      <c r="K17" s="4"/>
      <c r="L17" s="4"/>
      <c r="M17" s="5"/>
    </row>
    <row r="18" spans="1:13">
      <c r="A18" s="1" t="s">
        <v>43</v>
      </c>
      <c r="B18" s="11">
        <f>(((B10-1)*1000000)*B11*100)/(307*B9)</f>
        <v>5494.5439739413623</v>
      </c>
      <c r="C18" s="9" t="s">
        <v>44</v>
      </c>
      <c r="D18" s="86">
        <f>B18*0.00220462</f>
        <v>12.113381535830607</v>
      </c>
      <c r="E18" s="85" t="s">
        <v>135</v>
      </c>
      <c r="F18" s="73" t="s">
        <v>45</v>
      </c>
      <c r="G18" s="73"/>
      <c r="H18" s="4"/>
      <c r="I18" s="4"/>
      <c r="J18" s="4"/>
      <c r="K18" s="4"/>
      <c r="L18" s="4"/>
      <c r="M18" s="5" t="str">
        <f>IF(COUNTBLANK(H18:L18)=5,"",SUM(H18:L18)/COUNT(H18:L38))</f>
        <v/>
      </c>
    </row>
    <row r="19" spans="1:13">
      <c r="A19" t="s">
        <v>46</v>
      </c>
      <c r="B19" s="7">
        <f>0.628*B18/1000</f>
        <v>3.4505736156351756</v>
      </c>
      <c r="C19" s="3" t="s">
        <v>12</v>
      </c>
      <c r="D19" s="3">
        <f>B19*0.264172052</f>
        <v>0.91154511261940363</v>
      </c>
      <c r="E19" s="3" t="s">
        <v>134</v>
      </c>
      <c r="F19" s="73" t="s">
        <v>47</v>
      </c>
      <c r="G19" s="73"/>
      <c r="H19" s="4"/>
      <c r="I19" s="4"/>
      <c r="J19" s="4"/>
      <c r="K19" s="4"/>
      <c r="L19" s="4"/>
      <c r="M19" s="5" t="str">
        <f>IF(COUNTBLANK(H19:L19)=5,"",SUM(H19:L19)/COUNT(H19:L39))</f>
        <v/>
      </c>
    </row>
    <row r="20" spans="1:13">
      <c r="A20" s="1" t="s">
        <v>48</v>
      </c>
      <c r="B20" s="12">
        <f>B17+B19</f>
        <v>34.267082980221218</v>
      </c>
      <c r="C20" s="13" t="s">
        <v>12</v>
      </c>
      <c r="D20" s="13">
        <f t="shared" ref="D20:D21" si="0">B20*0.264172052</f>
        <v>9.0524056269393149</v>
      </c>
      <c r="E20" s="13" t="s">
        <v>134</v>
      </c>
      <c r="F20" s="73" t="s">
        <v>49</v>
      </c>
      <c r="G20" s="73"/>
      <c r="H20" s="4"/>
      <c r="I20" s="4"/>
      <c r="J20" s="4"/>
      <c r="K20" s="4"/>
      <c r="L20" s="4"/>
      <c r="M20" s="5" t="str">
        <f>IF(COUNTBLANK(H20:L20)=5,"",SUM(H20:L20)/COUNT(H20:L40))</f>
        <v/>
      </c>
    </row>
    <row r="21" spans="1:13" ht="16.5">
      <c r="A21" t="s">
        <v>50</v>
      </c>
      <c r="B21" s="14">
        <f>B20+B18*0.66/1000</f>
        <v>37.89348200302252</v>
      </c>
      <c r="C21" s="3" t="s">
        <v>12</v>
      </c>
      <c r="D21" s="3">
        <f t="shared" si="0"/>
        <v>10.01039889816353</v>
      </c>
      <c r="E21" s="3" t="s">
        <v>134</v>
      </c>
      <c r="F21" s="73" t="s">
        <v>51</v>
      </c>
      <c r="G21" s="73"/>
      <c r="H21" s="4"/>
      <c r="I21" s="4"/>
      <c r="J21" s="4"/>
      <c r="K21" s="4"/>
      <c r="L21" s="4"/>
      <c r="M21" s="5"/>
    </row>
    <row r="22" spans="1:13">
      <c r="A22" s="65"/>
      <c r="B22" s="65"/>
      <c r="C22" s="65"/>
      <c r="D22" s="65"/>
      <c r="E22" s="65"/>
      <c r="F22" s="65"/>
      <c r="G22" s="65"/>
      <c r="H22" s="65"/>
      <c r="I22" s="65"/>
      <c r="J22" s="65"/>
      <c r="K22" s="65"/>
      <c r="L22" s="65"/>
      <c r="M22" s="65"/>
    </row>
    <row r="23" spans="1:13">
      <c r="A23" s="74" t="s">
        <v>52</v>
      </c>
      <c r="B23" s="74"/>
      <c r="C23" s="74"/>
      <c r="D23" s="74"/>
      <c r="E23" s="74"/>
      <c r="F23" s="74"/>
      <c r="G23" s="74"/>
      <c r="H23" s="75" t="s">
        <v>53</v>
      </c>
      <c r="I23" s="75"/>
      <c r="J23" s="75"/>
      <c r="K23" s="75"/>
      <c r="L23" s="75"/>
      <c r="M23" s="75"/>
    </row>
    <row r="24" spans="1:13" ht="8.25" customHeight="1">
      <c r="A24" s="65"/>
      <c r="B24" s="65"/>
      <c r="C24" s="65"/>
      <c r="D24" s="65"/>
      <c r="E24" s="65"/>
      <c r="F24" s="65"/>
      <c r="G24" s="65"/>
      <c r="H24" s="65"/>
      <c r="I24" s="65"/>
      <c r="J24" s="65"/>
      <c r="K24" s="65"/>
      <c r="L24" s="65"/>
      <c r="M24" s="65"/>
    </row>
    <row r="25" spans="1:13">
      <c r="A25" s="1"/>
      <c r="B25" s="15" t="s">
        <v>54</v>
      </c>
      <c r="F25" s="16" t="s">
        <v>55</v>
      </c>
      <c r="G25" s="17"/>
      <c r="H25" s="71" t="s">
        <v>56</v>
      </c>
      <c r="I25" s="71"/>
      <c r="J25" s="71"/>
      <c r="K25" s="71"/>
      <c r="L25" s="71"/>
      <c r="M25" s="71"/>
    </row>
    <row r="26" spans="1:13" ht="16.5">
      <c r="A26" s="18" t="s">
        <v>57</v>
      </c>
      <c r="B26">
        <v>1</v>
      </c>
      <c r="C26" s="19" t="s">
        <v>58</v>
      </c>
      <c r="D26" s="19"/>
      <c r="E26" s="19"/>
      <c r="F26" s="14">
        <f>F29/B29</f>
        <v>0.98106250723189325</v>
      </c>
      <c r="G26" s="20" t="s">
        <v>59</v>
      </c>
      <c r="H26" s="21" t="s">
        <v>55</v>
      </c>
      <c r="I26" s="21" t="s">
        <v>54</v>
      </c>
      <c r="J26" s="66"/>
      <c r="K26" s="66"/>
      <c r="L26" s="66"/>
      <c r="M26" s="66"/>
    </row>
    <row r="27" spans="1:13">
      <c r="A27" t="s">
        <v>26</v>
      </c>
      <c r="B27" s="22">
        <f>B11</f>
        <v>26.46</v>
      </c>
      <c r="C27" s="19" t="s">
        <v>58</v>
      </c>
      <c r="D27" s="19"/>
      <c r="E27" s="19"/>
      <c r="F27" s="23">
        <f>B27*$F$26*1.04451</f>
        <v>27.114345200885648</v>
      </c>
      <c r="G27" s="20" t="s">
        <v>60</v>
      </c>
      <c r="H27" s="24">
        <v>27.1</v>
      </c>
      <c r="I27" s="25">
        <f>H27/$F$26*0.9574</f>
        <v>26.446367900865329</v>
      </c>
      <c r="J27" s="72" t="s">
        <v>60</v>
      </c>
      <c r="K27" s="72"/>
      <c r="L27" s="72"/>
      <c r="M27" s="72"/>
    </row>
    <row r="28" spans="1:13">
      <c r="A28" t="s">
        <v>41</v>
      </c>
      <c r="B28" s="22">
        <f>B17</f>
        <v>30.81650936458604</v>
      </c>
      <c r="C28" s="19" t="s">
        <v>58</v>
      </c>
      <c r="D28" s="19"/>
      <c r="E28" s="19"/>
      <c r="F28" s="23">
        <f>B28*$F$26*1.04451</f>
        <v>31.578589296965649</v>
      </c>
      <c r="G28" s="20" t="s">
        <v>60</v>
      </c>
      <c r="H28" s="24">
        <v>31.6</v>
      </c>
      <c r="I28" s="25">
        <f>H28/$F$26*0.9574</f>
        <v>30.837831205437062</v>
      </c>
      <c r="J28" s="72" t="s">
        <v>60</v>
      </c>
      <c r="K28" s="72"/>
      <c r="L28" s="72"/>
      <c r="M28" s="72"/>
    </row>
    <row r="29" spans="1:13" ht="16.5">
      <c r="A29" s="1" t="s">
        <v>48</v>
      </c>
      <c r="B29" s="22">
        <f>B20</f>
        <v>34.267082980221218</v>
      </c>
      <c r="C29" s="19" t="s">
        <v>58</v>
      </c>
      <c r="D29" s="19"/>
      <c r="E29" s="19"/>
      <c r="F29" s="26">
        <f>B20*1000/(PI()*((B13/2)^2))*0.9986</f>
        <v>33.618150344099163</v>
      </c>
      <c r="G29" s="20" t="s">
        <v>59</v>
      </c>
      <c r="H29" s="24">
        <v>0</v>
      </c>
      <c r="I29" s="25">
        <f>H29/$F$26</f>
        <v>0</v>
      </c>
      <c r="J29" s="72" t="s">
        <v>59</v>
      </c>
      <c r="K29" s="72"/>
      <c r="L29" s="72"/>
      <c r="M29" s="72"/>
    </row>
    <row r="30" spans="1:13">
      <c r="A30" s="1" t="s">
        <v>61</v>
      </c>
      <c r="B30" s="22">
        <f>B29/0.982073</f>
        <v>34.89260266825503</v>
      </c>
      <c r="C30" s="19" t="s">
        <v>58</v>
      </c>
      <c r="D30" s="19"/>
      <c r="E30" s="19"/>
      <c r="F30" s="23">
        <f>B30*F26*1.018315</f>
        <v>34.858780118841821</v>
      </c>
      <c r="G30" s="20" t="s">
        <v>62</v>
      </c>
      <c r="H30" s="24">
        <v>0</v>
      </c>
      <c r="I30" s="22">
        <f>H30/$F$26*0.982073</f>
        <v>0</v>
      </c>
      <c r="J30" s="70" t="s">
        <v>62</v>
      </c>
      <c r="K30" s="70"/>
      <c r="L30" s="70"/>
      <c r="M30" s="70"/>
    </row>
    <row r="31" spans="1:13" ht="16.5" customHeight="1">
      <c r="A31" s="66" t="s">
        <v>63</v>
      </c>
      <c r="B31" s="66"/>
      <c r="C31" s="66"/>
      <c r="D31" s="66"/>
      <c r="E31" s="66"/>
      <c r="F31" s="66"/>
      <c r="G31" s="66"/>
      <c r="H31" s="66"/>
      <c r="I31" s="66"/>
      <c r="J31" s="66"/>
      <c r="K31" s="66"/>
      <c r="L31" s="66"/>
      <c r="M31" s="66"/>
    </row>
    <row r="32" spans="1:13">
      <c r="A32" s="65" t="s">
        <v>64</v>
      </c>
      <c r="B32" s="65"/>
      <c r="C32" s="65"/>
      <c r="D32" s="65"/>
      <c r="E32" s="65"/>
      <c r="F32" s="65"/>
      <c r="G32" s="65"/>
      <c r="H32" s="65"/>
      <c r="I32" s="65"/>
      <c r="J32" s="65"/>
      <c r="K32" s="65"/>
      <c r="L32" s="65"/>
      <c r="M32" s="65"/>
    </row>
    <row r="33" spans="1:13" ht="8.25" customHeight="1">
      <c r="A33" s="66"/>
      <c r="B33" s="66"/>
      <c r="C33" s="66"/>
      <c r="D33" s="66"/>
      <c r="E33" s="66"/>
      <c r="F33" s="66"/>
      <c r="G33" s="66"/>
      <c r="H33" s="66"/>
      <c r="I33" s="66"/>
      <c r="J33" s="66"/>
      <c r="K33" s="66"/>
      <c r="L33" s="66"/>
      <c r="M33" s="66"/>
    </row>
    <row r="34" spans="1:13" ht="12.75" customHeight="1">
      <c r="A34" s="63" t="s">
        <v>65</v>
      </c>
      <c r="B34" s="63"/>
      <c r="C34" s="63"/>
      <c r="D34" s="63"/>
      <c r="E34" s="63"/>
      <c r="F34" s="63"/>
      <c r="G34" s="63"/>
      <c r="H34" s="63"/>
      <c r="I34" s="63"/>
      <c r="J34" s="63"/>
      <c r="K34" s="63"/>
      <c r="L34" s="63"/>
      <c r="M34" s="63"/>
    </row>
    <row r="35" spans="1:13">
      <c r="A35" s="63"/>
      <c r="B35" s="63"/>
      <c r="C35" s="63"/>
      <c r="D35" s="63"/>
      <c r="E35" s="63"/>
      <c r="F35" s="63"/>
      <c r="G35" s="63"/>
      <c r="H35" s="63"/>
      <c r="I35" s="63"/>
      <c r="J35" s="63"/>
      <c r="K35" s="63"/>
      <c r="L35" s="63"/>
      <c r="M35" s="63"/>
    </row>
    <row r="36" spans="1:13" ht="8.25" customHeight="1">
      <c r="A36" s="27"/>
      <c r="B36" s="27"/>
      <c r="C36" s="27"/>
      <c r="D36" s="27"/>
      <c r="E36" s="27"/>
      <c r="F36" s="27"/>
      <c r="G36" s="27"/>
      <c r="H36" s="27"/>
      <c r="I36" s="27"/>
      <c r="J36" s="27"/>
      <c r="K36" s="27"/>
      <c r="L36" s="27"/>
      <c r="M36" s="27"/>
    </row>
    <row r="37" spans="1:13">
      <c r="A37" s="18" t="s">
        <v>66</v>
      </c>
      <c r="B37" s="64" t="s">
        <v>67</v>
      </c>
      <c r="C37" s="64"/>
      <c r="D37" s="64"/>
      <c r="E37" s="64"/>
      <c r="F37" s="64"/>
      <c r="G37" s="64"/>
      <c r="H37" s="64"/>
      <c r="I37" s="64"/>
      <c r="J37" s="64"/>
      <c r="K37" s="64"/>
      <c r="L37" s="64"/>
      <c r="M37" s="64"/>
    </row>
    <row r="38" spans="1:13">
      <c r="A38" t="s">
        <v>14</v>
      </c>
      <c r="B38" s="64" t="s">
        <v>68</v>
      </c>
      <c r="C38" s="64"/>
      <c r="D38" s="64"/>
      <c r="E38" s="64"/>
      <c r="F38" s="64"/>
      <c r="G38" s="64"/>
      <c r="H38" s="64"/>
      <c r="I38" s="64"/>
      <c r="J38" s="64"/>
      <c r="K38" s="64"/>
      <c r="L38" s="64"/>
      <c r="M38" s="64"/>
    </row>
    <row r="39" spans="1:13" ht="12.75" customHeight="1">
      <c r="A39" t="s">
        <v>18</v>
      </c>
      <c r="B39" s="67" t="s">
        <v>69</v>
      </c>
      <c r="C39" s="67"/>
      <c r="D39" s="67"/>
      <c r="E39" s="67"/>
      <c r="F39" s="67"/>
      <c r="G39" s="67"/>
      <c r="H39" s="67"/>
      <c r="I39" s="67"/>
      <c r="J39" s="67"/>
      <c r="K39" s="67"/>
      <c r="L39" s="67"/>
      <c r="M39" s="67"/>
    </row>
    <row r="40" spans="1:13">
      <c r="B40" s="67"/>
      <c r="C40" s="67"/>
      <c r="D40" s="67"/>
      <c r="E40" s="67"/>
      <c r="F40" s="67"/>
      <c r="G40" s="67"/>
      <c r="H40" s="67"/>
      <c r="I40" s="67"/>
      <c r="J40" s="67"/>
      <c r="K40" s="67"/>
      <c r="L40" s="67"/>
      <c r="M40" s="67"/>
    </row>
    <row r="41" spans="1:13" ht="12.75" customHeight="1">
      <c r="A41" t="s">
        <v>70</v>
      </c>
      <c r="B41" s="68" t="s">
        <v>71</v>
      </c>
      <c r="C41" s="68"/>
      <c r="D41" s="68"/>
      <c r="E41" s="68"/>
      <c r="F41" s="68"/>
      <c r="G41" s="68"/>
      <c r="H41" s="68"/>
      <c r="I41" s="68"/>
      <c r="J41" s="68"/>
      <c r="K41" s="68"/>
      <c r="L41" s="68"/>
      <c r="M41" s="68"/>
    </row>
    <row r="42" spans="1:13">
      <c r="B42" s="68"/>
      <c r="C42" s="68"/>
      <c r="D42" s="68"/>
      <c r="E42" s="68"/>
      <c r="F42" s="68"/>
      <c r="G42" s="68"/>
      <c r="H42" s="68"/>
      <c r="I42" s="68"/>
      <c r="J42" s="68"/>
      <c r="K42" s="68"/>
      <c r="L42" s="68"/>
      <c r="M42" s="68"/>
    </row>
    <row r="43" spans="1:13" ht="15" customHeight="1">
      <c r="A43" t="s">
        <v>20</v>
      </c>
      <c r="B43" s="68" t="s">
        <v>72</v>
      </c>
      <c r="C43" s="68"/>
      <c r="D43" s="68"/>
      <c r="E43" s="68"/>
      <c r="F43" s="68"/>
      <c r="G43" s="68"/>
      <c r="H43" s="68"/>
      <c r="I43" s="68"/>
      <c r="J43" s="68"/>
      <c r="K43" s="68"/>
      <c r="L43" s="68"/>
      <c r="M43" s="68"/>
    </row>
    <row r="44" spans="1:13" ht="12.75" customHeight="1">
      <c r="A44" t="s">
        <v>46</v>
      </c>
      <c r="B44" s="67" t="s">
        <v>73</v>
      </c>
      <c r="C44" s="67"/>
      <c r="D44" s="67"/>
      <c r="E44" s="67"/>
      <c r="F44" s="67"/>
      <c r="G44" s="67"/>
      <c r="H44" s="67"/>
      <c r="I44" s="67"/>
      <c r="J44" s="67"/>
      <c r="K44" s="67"/>
      <c r="L44" s="67"/>
      <c r="M44" s="67"/>
    </row>
    <row r="45" spans="1:13">
      <c r="B45" s="67"/>
      <c r="C45" s="67"/>
      <c r="D45" s="67"/>
      <c r="E45" s="67"/>
      <c r="F45" s="67"/>
      <c r="G45" s="67"/>
      <c r="H45" s="67"/>
      <c r="I45" s="67"/>
      <c r="J45" s="67"/>
      <c r="K45" s="67"/>
      <c r="L45" s="67"/>
      <c r="M45" s="67"/>
    </row>
    <row r="46" spans="1:13">
      <c r="B46" s="67"/>
      <c r="C46" s="67"/>
      <c r="D46" s="67"/>
      <c r="E46" s="67"/>
      <c r="F46" s="67"/>
      <c r="G46" s="67"/>
      <c r="H46" s="67"/>
      <c r="I46" s="67"/>
      <c r="J46" s="67"/>
      <c r="K46" s="67"/>
      <c r="L46" s="67"/>
      <c r="M46" s="67"/>
    </row>
    <row r="47" spans="1:13" ht="15" customHeight="1">
      <c r="A47" t="s">
        <v>43</v>
      </c>
      <c r="B47" s="69" t="s">
        <v>74</v>
      </c>
      <c r="C47" s="69"/>
      <c r="D47" s="69"/>
      <c r="E47" s="69"/>
      <c r="F47" s="69"/>
      <c r="G47" s="69"/>
      <c r="H47" s="69"/>
      <c r="I47" s="69"/>
      <c r="J47" s="69"/>
      <c r="K47" s="69"/>
      <c r="L47" s="69"/>
      <c r="M47" s="69"/>
    </row>
    <row r="48" spans="1:13">
      <c r="A48" t="s">
        <v>75</v>
      </c>
      <c r="B48" s="64" t="s">
        <v>76</v>
      </c>
      <c r="C48" s="64"/>
      <c r="D48" s="64"/>
      <c r="E48" s="64"/>
      <c r="F48" s="64"/>
      <c r="G48" s="64"/>
      <c r="H48" s="64"/>
      <c r="I48" s="64"/>
      <c r="J48" s="64"/>
      <c r="K48" s="64"/>
      <c r="L48" s="64"/>
      <c r="M48" s="64"/>
    </row>
    <row r="50" spans="1:13">
      <c r="A50" s="65" t="s">
        <v>77</v>
      </c>
      <c r="B50" s="65"/>
      <c r="C50" s="65"/>
      <c r="D50" s="65"/>
      <c r="E50" s="65"/>
      <c r="F50" s="65"/>
      <c r="G50" s="65"/>
      <c r="H50" s="65"/>
      <c r="I50" s="65"/>
      <c r="J50" s="65"/>
      <c r="K50" s="65"/>
      <c r="L50" s="65"/>
      <c r="M50" s="65"/>
    </row>
    <row r="51" spans="1:13" ht="8.25" customHeight="1">
      <c r="A51" s="66"/>
      <c r="B51" s="66"/>
      <c r="C51" s="66"/>
      <c r="D51" s="66"/>
      <c r="E51" s="66"/>
      <c r="F51" s="66"/>
      <c r="G51" s="66"/>
      <c r="H51" s="66"/>
      <c r="I51" s="66"/>
      <c r="J51" s="66"/>
      <c r="K51" s="66"/>
      <c r="L51" s="66"/>
      <c r="M51" s="66"/>
    </row>
    <row r="52" spans="1:13" ht="12.75" customHeight="1">
      <c r="A52" s="63" t="s">
        <v>78</v>
      </c>
      <c r="B52" s="63"/>
      <c r="C52" s="63"/>
      <c r="D52" s="63"/>
      <c r="E52" s="63"/>
      <c r="F52" s="63"/>
      <c r="G52" s="63"/>
      <c r="H52" s="63"/>
      <c r="I52" s="63"/>
      <c r="J52" s="63"/>
      <c r="K52" s="63"/>
      <c r="L52" s="63"/>
      <c r="M52" s="63"/>
    </row>
    <row r="53" spans="1:13">
      <c r="A53" s="63"/>
      <c r="B53" s="63"/>
      <c r="C53" s="63"/>
      <c r="D53" s="63"/>
      <c r="E53" s="63"/>
      <c r="F53" s="63"/>
      <c r="G53" s="63"/>
      <c r="H53" s="63"/>
      <c r="I53" s="63"/>
      <c r="J53" s="63"/>
      <c r="K53" s="63"/>
      <c r="L53" s="63"/>
      <c r="M53" s="63"/>
    </row>
    <row r="54" spans="1:13" ht="8.25" customHeight="1">
      <c r="A54" s="27"/>
      <c r="B54" s="27"/>
      <c r="C54" s="27"/>
      <c r="D54" s="27"/>
      <c r="E54" s="27"/>
      <c r="F54" s="27"/>
      <c r="G54" s="27"/>
      <c r="H54" s="27"/>
      <c r="I54" s="27"/>
      <c r="J54" s="27"/>
      <c r="K54" s="27"/>
      <c r="L54" s="27"/>
      <c r="M54" s="27"/>
    </row>
    <row r="55" spans="1:13">
      <c r="A55" s="65" t="s">
        <v>79</v>
      </c>
      <c r="B55" s="65"/>
      <c r="C55" s="65"/>
      <c r="D55" s="65"/>
      <c r="E55" s="65"/>
      <c r="F55" s="65"/>
      <c r="G55" s="65"/>
      <c r="H55" s="65"/>
      <c r="I55" s="65"/>
      <c r="J55" s="65"/>
      <c r="K55" s="65"/>
      <c r="L55" s="65"/>
      <c r="M55" s="65"/>
    </row>
    <row r="56" spans="1:13" ht="8.25" customHeight="1">
      <c r="A56" s="66"/>
      <c r="B56" s="66"/>
      <c r="C56" s="66"/>
      <c r="D56" s="66"/>
      <c r="E56" s="66"/>
      <c r="F56" s="66"/>
      <c r="G56" s="66"/>
      <c r="H56" s="66"/>
      <c r="I56" s="66"/>
      <c r="J56" s="66"/>
      <c r="K56" s="66"/>
      <c r="L56" s="66"/>
      <c r="M56" s="66"/>
    </row>
    <row r="57" spans="1:13" ht="12.75" customHeight="1">
      <c r="A57" s="63" t="s">
        <v>80</v>
      </c>
      <c r="B57" s="63"/>
      <c r="C57" s="63"/>
      <c r="D57" s="63"/>
      <c r="E57" s="63"/>
      <c r="F57" s="63"/>
      <c r="G57" s="63"/>
      <c r="H57" s="63"/>
      <c r="I57" s="63"/>
      <c r="J57" s="63"/>
      <c r="K57" s="63"/>
      <c r="L57" s="63"/>
      <c r="M57" s="63"/>
    </row>
    <row r="58" spans="1:13">
      <c r="A58" s="63"/>
      <c r="B58" s="63"/>
      <c r="C58" s="63"/>
      <c r="D58" s="63"/>
      <c r="E58" s="63"/>
      <c r="F58" s="63"/>
      <c r="G58" s="63"/>
      <c r="H58" s="63"/>
      <c r="I58" s="63"/>
      <c r="J58" s="63"/>
      <c r="K58" s="63"/>
      <c r="L58" s="63"/>
      <c r="M58" s="63"/>
    </row>
    <row r="59" spans="1:13">
      <c r="A59" s="63"/>
      <c r="B59" s="63"/>
      <c r="C59" s="63"/>
      <c r="D59" s="63"/>
      <c r="E59" s="63"/>
      <c r="F59" s="63"/>
      <c r="G59" s="63"/>
      <c r="H59" s="63"/>
      <c r="I59" s="63"/>
      <c r="J59" s="63"/>
      <c r="K59" s="63"/>
      <c r="L59" s="63"/>
      <c r="M59" s="63"/>
    </row>
    <row r="61" spans="1:13">
      <c r="A61" s="28" t="s">
        <v>81</v>
      </c>
    </row>
  </sheetData>
  <sheetProtection selectLockedCells="1" selectUnlockedCells="1"/>
  <mergeCells count="49">
    <mergeCell ref="F6:G6"/>
    <mergeCell ref="A1:M1"/>
    <mergeCell ref="A2:M2"/>
    <mergeCell ref="A3:M3"/>
    <mergeCell ref="F4:G4"/>
    <mergeCell ref="F5:G5"/>
    <mergeCell ref="F18:G18"/>
    <mergeCell ref="F7:G7"/>
    <mergeCell ref="F8:G8"/>
    <mergeCell ref="F9:G9"/>
    <mergeCell ref="F10:G10"/>
    <mergeCell ref="F11:G11"/>
    <mergeCell ref="F12:G12"/>
    <mergeCell ref="F13:G13"/>
    <mergeCell ref="F14:G14"/>
    <mergeCell ref="F15:G15"/>
    <mergeCell ref="F16:G16"/>
    <mergeCell ref="F17:G17"/>
    <mergeCell ref="J29:M29"/>
    <mergeCell ref="F19:G19"/>
    <mergeCell ref="F20:G20"/>
    <mergeCell ref="F21:G21"/>
    <mergeCell ref="A22:M22"/>
    <mergeCell ref="A23:G23"/>
    <mergeCell ref="H23:M23"/>
    <mergeCell ref="A24:M24"/>
    <mergeCell ref="H25:M25"/>
    <mergeCell ref="J26:M26"/>
    <mergeCell ref="J27:M27"/>
    <mergeCell ref="J28:M28"/>
    <mergeCell ref="B47:M47"/>
    <mergeCell ref="J30:M30"/>
    <mergeCell ref="A31:M31"/>
    <mergeCell ref="A32:M32"/>
    <mergeCell ref="A33:M33"/>
    <mergeCell ref="A34:M35"/>
    <mergeCell ref="B37:M37"/>
    <mergeCell ref="B38:M38"/>
    <mergeCell ref="B39:M40"/>
    <mergeCell ref="B41:M42"/>
    <mergeCell ref="B43:M43"/>
    <mergeCell ref="B44:M46"/>
    <mergeCell ref="A57:M59"/>
    <mergeCell ref="B48:M48"/>
    <mergeCell ref="A50:M50"/>
    <mergeCell ref="A51:M51"/>
    <mergeCell ref="A52:M53"/>
    <mergeCell ref="A55:M55"/>
    <mergeCell ref="A56:M56"/>
  </mergeCells>
  <pageMargins left="0.7" right="0.7" top="0.75" bottom="0.75"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K19"/>
  <sheetViews>
    <sheetView workbookViewId="0">
      <selection activeCell="E5" sqref="E5"/>
    </sheetView>
  </sheetViews>
  <sheetFormatPr defaultRowHeight="15"/>
  <cols>
    <col min="1" max="1" width="24.42578125" customWidth="1"/>
    <col min="2" max="2" width="11.7109375" customWidth="1"/>
    <col min="5" max="5" width="11" customWidth="1"/>
    <col min="6" max="6" width="6" customWidth="1"/>
    <col min="7" max="7" width="10.28515625" customWidth="1"/>
    <col min="8" max="8" width="11.140625" customWidth="1"/>
  </cols>
  <sheetData>
    <row r="1" spans="1:11" ht="17.25">
      <c r="A1" s="79" t="s">
        <v>82</v>
      </c>
      <c r="B1" s="79"/>
      <c r="C1" s="29"/>
      <c r="D1" s="29"/>
      <c r="E1" s="29"/>
      <c r="I1" s="29"/>
      <c r="J1" s="29"/>
    </row>
    <row r="2" spans="1:11" ht="6.75" customHeight="1">
      <c r="A2" s="29"/>
      <c r="B2" s="29"/>
    </row>
    <row r="3" spans="1:11">
      <c r="A3" s="30"/>
      <c r="B3" s="80" t="s">
        <v>83</v>
      </c>
      <c r="C3" s="80"/>
      <c r="D3" s="80"/>
      <c r="E3" s="80"/>
      <c r="G3" s="80" t="s">
        <v>84</v>
      </c>
      <c r="H3" s="80"/>
      <c r="J3" s="80"/>
      <c r="K3" s="80"/>
    </row>
    <row r="4" spans="1:11">
      <c r="A4" s="1" t="s">
        <v>85</v>
      </c>
      <c r="B4" s="32" t="s">
        <v>86</v>
      </c>
      <c r="C4" s="33" t="s">
        <v>87</v>
      </c>
      <c r="D4" s="33" t="s">
        <v>138</v>
      </c>
      <c r="E4" s="32" t="s">
        <v>88</v>
      </c>
      <c r="G4" s="32" t="s">
        <v>86</v>
      </c>
      <c r="H4" s="32" t="s">
        <v>88</v>
      </c>
      <c r="J4" s="32" t="s">
        <v>137</v>
      </c>
      <c r="K4" s="32"/>
    </row>
    <row r="5" spans="1:11">
      <c r="A5" t="s">
        <v>43</v>
      </c>
      <c r="B5">
        <v>100</v>
      </c>
      <c r="C5" s="33" t="s">
        <v>87</v>
      </c>
      <c r="D5" s="19">
        <v>10.5</v>
      </c>
      <c r="E5" s="88">
        <f>D5/0.00220462</f>
        <v>4762.7255490742173</v>
      </c>
      <c r="G5">
        <v>100</v>
      </c>
      <c r="H5" s="34">
        <f>'Volumes etc.'!B18</f>
        <v>5494.5439739413623</v>
      </c>
      <c r="I5" t="s">
        <v>89</v>
      </c>
      <c r="J5">
        <f>H5*0.00220462</f>
        <v>12.113381535830607</v>
      </c>
      <c r="K5" s="34"/>
    </row>
    <row r="6" spans="1:11">
      <c r="A6" t="s">
        <v>90</v>
      </c>
      <c r="B6" s="35">
        <v>75</v>
      </c>
      <c r="C6" s="33" t="s">
        <v>87</v>
      </c>
      <c r="D6" s="19">
        <v>8</v>
      </c>
      <c r="E6" s="88">
        <f t="shared" ref="E6:E8" si="0">D6/0.00220462</f>
        <v>3628.7432754851175</v>
      </c>
      <c r="G6" s="36">
        <f t="shared" ref="G6:G12" si="1">IF(B6="",E6/E$5*100,B6)</f>
        <v>75</v>
      </c>
      <c r="H6" s="34">
        <f t="shared" ref="H6:H12" si="2">G6/100*H$5</f>
        <v>4120.9079804560215</v>
      </c>
      <c r="J6">
        <f t="shared" ref="J6:J12" si="3">H6*0.00220462</f>
        <v>9.0850361518729539</v>
      </c>
      <c r="K6" s="34"/>
    </row>
    <row r="7" spans="1:11">
      <c r="A7" t="s">
        <v>91</v>
      </c>
      <c r="B7" s="35">
        <v>20</v>
      </c>
      <c r="C7" s="33" t="s">
        <v>87</v>
      </c>
      <c r="D7" s="19">
        <v>2</v>
      </c>
      <c r="E7" s="88">
        <f t="shared" si="0"/>
        <v>907.18581887127937</v>
      </c>
      <c r="G7" s="36">
        <f t="shared" si="1"/>
        <v>20</v>
      </c>
      <c r="H7" s="34">
        <f t="shared" si="2"/>
        <v>1098.9087947882724</v>
      </c>
      <c r="J7">
        <f t="shared" si="3"/>
        <v>2.422676307166121</v>
      </c>
      <c r="K7" s="34"/>
    </row>
    <row r="8" spans="1:11">
      <c r="A8" t="s">
        <v>92</v>
      </c>
      <c r="B8" s="35">
        <v>5</v>
      </c>
      <c r="C8" s="33" t="s">
        <v>87</v>
      </c>
      <c r="D8" s="19">
        <v>0.5</v>
      </c>
      <c r="E8" s="88">
        <f t="shared" si="0"/>
        <v>226.79645471781984</v>
      </c>
      <c r="G8" s="36">
        <f t="shared" si="1"/>
        <v>5</v>
      </c>
      <c r="H8" s="34">
        <f t="shared" si="2"/>
        <v>274.7271986970681</v>
      </c>
      <c r="J8">
        <f t="shared" si="3"/>
        <v>0.60566907679153026</v>
      </c>
      <c r="K8" s="34"/>
    </row>
    <row r="9" spans="1:11">
      <c r="A9" t="s">
        <v>93</v>
      </c>
      <c r="B9" s="35"/>
      <c r="C9" s="33" t="s">
        <v>87</v>
      </c>
      <c r="D9" s="33"/>
      <c r="E9" s="35"/>
      <c r="G9" s="36">
        <f t="shared" si="1"/>
        <v>0</v>
      </c>
      <c r="H9" s="34">
        <f t="shared" si="2"/>
        <v>0</v>
      </c>
      <c r="J9">
        <f t="shared" si="3"/>
        <v>0</v>
      </c>
      <c r="K9" s="34"/>
    </row>
    <row r="10" spans="1:11">
      <c r="A10" t="s">
        <v>94</v>
      </c>
      <c r="B10" s="35"/>
      <c r="C10" s="33" t="s">
        <v>87</v>
      </c>
      <c r="D10" s="33"/>
      <c r="E10" s="35"/>
      <c r="G10" s="36">
        <f t="shared" si="1"/>
        <v>0</v>
      </c>
      <c r="H10" s="34">
        <f t="shared" si="2"/>
        <v>0</v>
      </c>
      <c r="J10">
        <f t="shared" si="3"/>
        <v>0</v>
      </c>
      <c r="K10" s="34"/>
    </row>
    <row r="11" spans="1:11">
      <c r="A11" t="s">
        <v>95</v>
      </c>
      <c r="B11" s="35"/>
      <c r="C11" s="33" t="s">
        <v>87</v>
      </c>
      <c r="D11" s="33"/>
      <c r="E11" s="35"/>
      <c r="G11" s="36">
        <f t="shared" si="1"/>
        <v>0</v>
      </c>
      <c r="H11" s="34">
        <f t="shared" si="2"/>
        <v>0</v>
      </c>
      <c r="J11">
        <f t="shared" si="3"/>
        <v>0</v>
      </c>
      <c r="K11" s="34"/>
    </row>
    <row r="12" spans="1:11">
      <c r="A12" t="s">
        <v>96</v>
      </c>
      <c r="B12" s="35"/>
      <c r="C12" s="33" t="s">
        <v>87</v>
      </c>
      <c r="D12" s="33"/>
      <c r="E12" s="35"/>
      <c r="G12" s="36">
        <f t="shared" si="1"/>
        <v>0</v>
      </c>
      <c r="H12" s="34">
        <f t="shared" si="2"/>
        <v>0</v>
      </c>
      <c r="J12">
        <f t="shared" si="3"/>
        <v>0</v>
      </c>
      <c r="K12" s="34"/>
    </row>
    <row r="15" spans="1:11">
      <c r="A15" t="s">
        <v>97</v>
      </c>
    </row>
    <row r="19" spans="1:1">
      <c r="A19" s="28" t="s">
        <v>81</v>
      </c>
    </row>
  </sheetData>
  <sheetProtection selectLockedCells="1" selectUnlockedCells="1"/>
  <mergeCells count="4">
    <mergeCell ref="A1:B1"/>
    <mergeCell ref="B3:E3"/>
    <mergeCell ref="G3:H3"/>
    <mergeCell ref="J3:K3"/>
  </mergeCells>
  <pageMargins left="0.7" right="0.7" top="0.75" bottom="0.75"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O31"/>
  <sheetViews>
    <sheetView workbookViewId="0">
      <selection activeCell="A22" sqref="A22"/>
    </sheetView>
  </sheetViews>
  <sheetFormatPr defaultRowHeight="15"/>
  <cols>
    <col min="1" max="1" width="25" customWidth="1"/>
    <col min="2" max="2" width="12.7109375" customWidth="1"/>
    <col min="13" max="13" width="6.5703125" customWidth="1"/>
    <col min="15" max="15" width="13.5703125" customWidth="1"/>
  </cols>
  <sheetData>
    <row r="1" spans="1:15" ht="17.25">
      <c r="A1" s="79" t="s">
        <v>98</v>
      </c>
      <c r="B1" s="79"/>
      <c r="C1" s="79"/>
      <c r="D1" s="29"/>
      <c r="E1" s="29"/>
      <c r="F1" s="37"/>
      <c r="G1" s="37"/>
      <c r="H1" s="37"/>
      <c r="I1" s="37"/>
      <c r="J1" s="37"/>
      <c r="K1" s="37"/>
    </row>
    <row r="2" spans="1:15" ht="6" customHeight="1">
      <c r="A2" s="30"/>
      <c r="B2" s="30"/>
    </row>
    <row r="3" spans="1:15">
      <c r="A3" s="30"/>
      <c r="B3" s="30"/>
      <c r="C3" s="31"/>
      <c r="D3" s="32"/>
      <c r="E3" s="32"/>
      <c r="F3" s="32"/>
      <c r="G3" s="81" t="s">
        <v>99</v>
      </c>
      <c r="H3" s="81"/>
      <c r="I3" s="81"/>
      <c r="J3" s="31"/>
      <c r="K3" s="62"/>
      <c r="L3" s="32"/>
      <c r="M3" s="32"/>
      <c r="N3" s="32"/>
    </row>
    <row r="4" spans="1:15">
      <c r="A4" s="30"/>
      <c r="B4" s="30"/>
      <c r="C4" s="31"/>
      <c r="D4" s="32"/>
      <c r="E4" s="32"/>
      <c r="F4" s="32"/>
      <c r="G4" s="38" t="s">
        <v>100</v>
      </c>
      <c r="H4" s="39" t="s">
        <v>101</v>
      </c>
      <c r="I4" s="39" t="s">
        <v>10</v>
      </c>
      <c r="J4" s="31"/>
      <c r="K4" s="62"/>
      <c r="L4" s="32"/>
      <c r="M4" s="32"/>
      <c r="N4" s="32"/>
    </row>
    <row r="5" spans="1:15">
      <c r="A5" s="30"/>
      <c r="B5" s="30"/>
      <c r="C5" s="31"/>
      <c r="D5" s="32"/>
      <c r="E5" s="32"/>
      <c r="F5" s="32"/>
      <c r="G5" s="40">
        <f>'Volumes etc.'!B16</f>
        <v>1.0437901640330096</v>
      </c>
      <c r="H5" s="40">
        <f>'Volumes etc.'!B10</f>
        <v>1.0509999999999999</v>
      </c>
      <c r="I5" s="41">
        <f>(G5+H5)/2</f>
        <v>1.0473950820165048</v>
      </c>
      <c r="J5" s="31"/>
      <c r="K5" s="62"/>
      <c r="L5" s="32"/>
      <c r="M5" s="32"/>
      <c r="N5" s="32"/>
    </row>
    <row r="6" spans="1:15">
      <c r="A6" s="30"/>
      <c r="B6" s="30"/>
      <c r="C6" s="80" t="s">
        <v>83</v>
      </c>
      <c r="D6" s="80"/>
      <c r="E6" s="80"/>
      <c r="F6" s="80"/>
      <c r="G6" s="81"/>
      <c r="H6" s="81"/>
      <c r="I6" s="81"/>
      <c r="J6" s="80" t="s">
        <v>84</v>
      </c>
      <c r="K6" s="80"/>
      <c r="L6" s="80"/>
      <c r="M6" s="80"/>
      <c r="N6" s="80"/>
    </row>
    <row r="7" spans="1:15">
      <c r="A7" s="29"/>
      <c r="B7" s="29"/>
      <c r="C7" s="42"/>
      <c r="D7" s="42"/>
      <c r="E7" s="42"/>
      <c r="F7" s="43"/>
      <c r="H7" s="40"/>
      <c r="J7" s="42"/>
      <c r="K7" s="42"/>
      <c r="L7" s="42"/>
      <c r="M7" s="42"/>
      <c r="N7" s="42"/>
    </row>
    <row r="8" spans="1:15">
      <c r="A8" s="29"/>
      <c r="B8" s="29"/>
      <c r="C8" s="82" t="s">
        <v>102</v>
      </c>
      <c r="D8" s="82"/>
      <c r="E8" s="82"/>
      <c r="F8" s="44">
        <v>23.94</v>
      </c>
      <c r="G8" s="45"/>
      <c r="J8" s="82" t="s">
        <v>102</v>
      </c>
      <c r="K8" s="82"/>
      <c r="L8" s="82"/>
      <c r="M8" s="82"/>
      <c r="N8" s="46">
        <f>'Volumes etc.'!B11</f>
        <v>26.46</v>
      </c>
      <c r="O8" t="s">
        <v>89</v>
      </c>
    </row>
    <row r="9" spans="1:15" ht="8.25" customHeight="1">
      <c r="A9" s="30"/>
      <c r="B9" s="30"/>
      <c r="E9" s="47"/>
      <c r="G9" s="47"/>
      <c r="J9" s="42"/>
      <c r="K9" s="42"/>
      <c r="L9" s="42"/>
      <c r="M9" s="32"/>
    </row>
    <row r="10" spans="1:15">
      <c r="A10" s="1" t="s">
        <v>103</v>
      </c>
      <c r="B10" s="1" t="s">
        <v>139</v>
      </c>
      <c r="C10" s="32" t="s">
        <v>104</v>
      </c>
      <c r="D10" s="33" t="s">
        <v>105</v>
      </c>
      <c r="F10" s="32" t="s">
        <v>106</v>
      </c>
      <c r="G10" s="45"/>
      <c r="H10" s="32" t="s">
        <v>107</v>
      </c>
      <c r="I10" s="32"/>
      <c r="J10" s="32" t="s">
        <v>104</v>
      </c>
      <c r="K10" s="32" t="s">
        <v>139</v>
      </c>
      <c r="L10" s="33" t="s">
        <v>105</v>
      </c>
      <c r="M10" s="32"/>
      <c r="N10" s="32" t="s">
        <v>106</v>
      </c>
    </row>
    <row r="11" spans="1:15">
      <c r="A11" t="s">
        <v>108</v>
      </c>
      <c r="B11">
        <v>1</v>
      </c>
      <c r="C11" s="35">
        <f>B11/0.0352739619</f>
        <v>28.349523164847554</v>
      </c>
      <c r="D11" s="48">
        <v>6.6</v>
      </c>
      <c r="E11" s="49" t="s">
        <v>87</v>
      </c>
      <c r="F11" s="35"/>
      <c r="G11" s="47"/>
      <c r="H11" s="50">
        <v>60</v>
      </c>
      <c r="J11" s="36">
        <f t="shared" ref="J11:J17" si="0">(10*N11*$N$8)/(((((1.65*0.000125^($I$5-1))*((1-2.71828182845904^(-0.04*H11))/4.15))*100))*L11)</f>
        <v>31.333683497989401</v>
      </c>
      <c r="K11" s="36">
        <f>J11*0.0352739619</f>
        <v>1.1052631578947367</v>
      </c>
      <c r="L11" s="51">
        <v>6.6</v>
      </c>
      <c r="M11" s="32" t="s">
        <v>58</v>
      </c>
      <c r="N11" s="36">
        <f t="shared" ref="N11:N17" si="1">IF(F11="",C11*((D11*100)*(((1.65*0.000125^($I$5-1))*((1-2.71828182845904^(-0.04*H11))/4.15))*100))/(10*$F$8)/100,F11)</f>
        <v>18.45494442467054</v>
      </c>
    </row>
    <row r="12" spans="1:15">
      <c r="A12" t="s">
        <v>109</v>
      </c>
      <c r="B12">
        <v>0.5</v>
      </c>
      <c r="C12" s="35">
        <f t="shared" ref="C12:C17" si="2">B12/0.0352739619</f>
        <v>14.174761582423777</v>
      </c>
      <c r="D12" s="48">
        <v>6.6</v>
      </c>
      <c r="E12" s="49" t="s">
        <v>87</v>
      </c>
      <c r="F12" s="35"/>
      <c r="G12" s="47"/>
      <c r="H12" s="50">
        <v>30</v>
      </c>
      <c r="J12" s="36">
        <f t="shared" si="0"/>
        <v>15.666841748994701</v>
      </c>
      <c r="K12" s="36">
        <f t="shared" ref="K12:K17" si="3">J12*0.0352739619</f>
        <v>0.55263157894736836</v>
      </c>
      <c r="L12" s="51">
        <v>6.6</v>
      </c>
      <c r="M12" s="32" t="s">
        <v>58</v>
      </c>
      <c r="N12" s="36">
        <f t="shared" si="1"/>
        <v>7.0915410842281617</v>
      </c>
    </row>
    <row r="13" spans="1:15">
      <c r="A13" t="s">
        <v>110</v>
      </c>
      <c r="B13">
        <v>0.25</v>
      </c>
      <c r="C13" s="35">
        <f t="shared" si="2"/>
        <v>7.0873807912118885</v>
      </c>
      <c r="D13" s="48">
        <v>6.6</v>
      </c>
      <c r="E13" s="49" t="s">
        <v>87</v>
      </c>
      <c r="F13" s="35"/>
      <c r="G13" s="47"/>
      <c r="H13" s="50">
        <v>15</v>
      </c>
      <c r="J13" s="36">
        <f t="shared" si="0"/>
        <v>7.833420874497353</v>
      </c>
      <c r="K13" s="36">
        <f t="shared" si="3"/>
        <v>0.27631578947368429</v>
      </c>
      <c r="L13" s="51">
        <v>6.6</v>
      </c>
      <c r="M13" s="32" t="s">
        <v>58</v>
      </c>
      <c r="N13" s="36">
        <f t="shared" si="1"/>
        <v>2.2893491109456132</v>
      </c>
    </row>
    <row r="14" spans="1:15">
      <c r="A14" t="s">
        <v>111</v>
      </c>
      <c r="B14">
        <v>0.25</v>
      </c>
      <c r="C14" s="35">
        <f t="shared" si="2"/>
        <v>7.0873807912118885</v>
      </c>
      <c r="D14" s="48">
        <v>6.6</v>
      </c>
      <c r="E14" s="49" t="s">
        <v>87</v>
      </c>
      <c r="F14" s="35"/>
      <c r="G14" s="47"/>
      <c r="H14" s="50">
        <v>5</v>
      </c>
      <c r="J14" s="36">
        <f t="shared" si="0"/>
        <v>7.8334208744973512</v>
      </c>
      <c r="K14" s="36">
        <f t="shared" si="3"/>
        <v>0.27631578947368424</v>
      </c>
      <c r="L14" s="51">
        <v>6.6</v>
      </c>
      <c r="M14" s="32" t="s">
        <v>58</v>
      </c>
      <c r="N14" s="36">
        <f t="shared" si="1"/>
        <v>0.91976793392922118</v>
      </c>
    </row>
    <row r="15" spans="1:15">
      <c r="A15" t="s">
        <v>112</v>
      </c>
      <c r="C15" s="35">
        <f t="shared" si="2"/>
        <v>0</v>
      </c>
      <c r="D15" s="48"/>
      <c r="E15" s="49" t="s">
        <v>87</v>
      </c>
      <c r="F15" s="35"/>
      <c r="G15" s="47"/>
      <c r="H15" s="50">
        <v>0</v>
      </c>
      <c r="J15" s="36" t="e">
        <f t="shared" si="0"/>
        <v>#DIV/0!</v>
      </c>
      <c r="K15" s="36" t="e">
        <f t="shared" si="3"/>
        <v>#DIV/0!</v>
      </c>
      <c r="L15" s="51"/>
      <c r="M15" s="32" t="s">
        <v>58</v>
      </c>
      <c r="N15" s="36">
        <f t="shared" si="1"/>
        <v>0</v>
      </c>
    </row>
    <row r="16" spans="1:15">
      <c r="A16" t="s">
        <v>113</v>
      </c>
      <c r="C16" s="35">
        <f t="shared" si="2"/>
        <v>0</v>
      </c>
      <c r="D16" s="48"/>
      <c r="E16" s="49" t="s">
        <v>87</v>
      </c>
      <c r="F16" s="35"/>
      <c r="G16" s="47"/>
      <c r="H16" s="50">
        <v>0</v>
      </c>
      <c r="J16" s="36" t="e">
        <f t="shared" si="0"/>
        <v>#DIV/0!</v>
      </c>
      <c r="K16" s="36" t="e">
        <f t="shared" si="3"/>
        <v>#DIV/0!</v>
      </c>
      <c r="L16" s="51"/>
      <c r="M16" s="32" t="s">
        <v>58</v>
      </c>
      <c r="N16" s="36">
        <f t="shared" si="1"/>
        <v>0</v>
      </c>
    </row>
    <row r="17" spans="1:15">
      <c r="A17" t="s">
        <v>114</v>
      </c>
      <c r="C17" s="35">
        <f t="shared" si="2"/>
        <v>0</v>
      </c>
      <c r="D17" s="48"/>
      <c r="E17" s="49" t="s">
        <v>87</v>
      </c>
      <c r="F17" s="35"/>
      <c r="G17" s="47"/>
      <c r="H17" s="50">
        <v>0</v>
      </c>
      <c r="J17" s="36" t="e">
        <f t="shared" si="0"/>
        <v>#DIV/0!</v>
      </c>
      <c r="K17" s="36" t="e">
        <f t="shared" si="3"/>
        <v>#DIV/0!</v>
      </c>
      <c r="L17" s="51"/>
      <c r="M17" s="32" t="s">
        <v>58</v>
      </c>
      <c r="N17" s="36">
        <f t="shared" si="1"/>
        <v>0</v>
      </c>
    </row>
    <row r="20" spans="1:15">
      <c r="E20" s="49" t="s">
        <v>115</v>
      </c>
      <c r="F20" s="52">
        <f>SUM(F11:F17)</f>
        <v>0</v>
      </c>
      <c r="G20" t="s">
        <v>116</v>
      </c>
      <c r="N20" s="36">
        <f>SUM(N11:N17)</f>
        <v>28.755602553773535</v>
      </c>
      <c r="O20" t="s">
        <v>116</v>
      </c>
    </row>
    <row r="21" spans="1:15">
      <c r="A21" t="s">
        <v>140</v>
      </c>
    </row>
    <row r="22" spans="1:15">
      <c r="N22" s="36"/>
    </row>
    <row r="23" spans="1:15">
      <c r="A23" t="s">
        <v>97</v>
      </c>
      <c r="N23" s="36"/>
    </row>
    <row r="24" spans="1:15">
      <c r="N24" s="36"/>
    </row>
    <row r="25" spans="1:15">
      <c r="N25" s="36"/>
    </row>
    <row r="26" spans="1:15">
      <c r="N26" s="36"/>
    </row>
    <row r="27" spans="1:15">
      <c r="A27" s="28" t="s">
        <v>81</v>
      </c>
      <c r="B27" s="28"/>
      <c r="N27" s="36"/>
    </row>
    <row r="28" spans="1:15">
      <c r="N28" s="36"/>
    </row>
    <row r="29" spans="1:15">
      <c r="N29" s="36"/>
    </row>
    <row r="30" spans="1:15">
      <c r="N30" s="36"/>
    </row>
    <row r="31" spans="1:15">
      <c r="N31" s="36"/>
    </row>
  </sheetData>
  <sheetProtection selectLockedCells="1" selectUnlockedCells="1"/>
  <mergeCells count="7">
    <mergeCell ref="C8:E8"/>
    <mergeCell ref="J8:M8"/>
    <mergeCell ref="A1:C1"/>
    <mergeCell ref="G3:I3"/>
    <mergeCell ref="C6:F6"/>
    <mergeCell ref="G6:I6"/>
    <mergeCell ref="J6:N6"/>
  </mergeCells>
  <pageMargins left="0.7" right="0.7" top="0.75" bottom="0.75" header="0.51180555555555551" footer="0.51180555555555551"/>
  <pageSetup paperSize="9" firstPageNumber="0"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J30"/>
  <sheetViews>
    <sheetView tabSelected="1" workbookViewId="0">
      <selection activeCell="B19" sqref="B19"/>
    </sheetView>
  </sheetViews>
  <sheetFormatPr defaultRowHeight="15"/>
  <cols>
    <col min="1" max="1" width="27" customWidth="1"/>
    <col min="2" max="2" width="14" customWidth="1"/>
    <col min="3" max="8" width="10.42578125" customWidth="1"/>
    <col min="10" max="10" width="12.5703125" customWidth="1"/>
  </cols>
  <sheetData>
    <row r="1" spans="1:10" ht="17.25">
      <c r="A1" s="53" t="s">
        <v>117</v>
      </c>
      <c r="B1" s="1"/>
    </row>
    <row r="2" spans="1:10" ht="8.25" customHeight="1"/>
    <row r="3" spans="1:10">
      <c r="A3" s="1" t="s">
        <v>118</v>
      </c>
      <c r="B3" s="32" t="s">
        <v>119</v>
      </c>
      <c r="C3" s="32" t="s">
        <v>5</v>
      </c>
      <c r="D3" s="32" t="s">
        <v>6</v>
      </c>
      <c r="E3" s="32" t="s">
        <v>7</v>
      </c>
      <c r="F3" s="32" t="s">
        <v>8</v>
      </c>
      <c r="G3" s="32" t="s">
        <v>9</v>
      </c>
      <c r="H3" s="32" t="s">
        <v>10</v>
      </c>
      <c r="J3" s="32" t="s">
        <v>120</v>
      </c>
    </row>
    <row r="4" spans="1:10">
      <c r="C4" s="54"/>
    </row>
    <row r="5" spans="1:10">
      <c r="A5" t="s">
        <v>41</v>
      </c>
      <c r="B5" s="55">
        <f>'Volumes etc.'!B17</f>
        <v>30.81650936458604</v>
      </c>
      <c r="C5" s="56">
        <f>'Volumes etc.'!H17</f>
        <v>0</v>
      </c>
      <c r="D5" s="56">
        <f>'Volumes etc.'!I17</f>
        <v>0</v>
      </c>
      <c r="E5" s="56">
        <f>'Volumes etc.'!J17</f>
        <v>0</v>
      </c>
      <c r="F5" s="56">
        <f>'Volumes etc.'!K17</f>
        <v>0</v>
      </c>
      <c r="G5" s="56">
        <f>'Volumes etc.'!L17</f>
        <v>0</v>
      </c>
      <c r="H5" s="5">
        <f>IF(COUNTBLANK(C5:G5)=5,"",SUM(C5:G5)/COUNT(C5:G19))</f>
        <v>0</v>
      </c>
      <c r="J5" s="35"/>
    </row>
    <row r="6" spans="1:10">
      <c r="A6" t="s">
        <v>26</v>
      </c>
      <c r="B6" s="55">
        <f>'Volumes etc.'!B11</f>
        <v>26.46</v>
      </c>
      <c r="C6" s="56">
        <f>'Volumes etc.'!H11</f>
        <v>0</v>
      </c>
      <c r="D6" s="56">
        <f>'Volumes etc.'!I11</f>
        <v>0</v>
      </c>
      <c r="E6" s="56">
        <f>'Volumes etc.'!J11</f>
        <v>0</v>
      </c>
      <c r="F6" s="56">
        <f>'Volumes etc.'!K11</f>
        <v>0</v>
      </c>
      <c r="G6" s="56">
        <f>'Volumes etc.'!L11</f>
        <v>0</v>
      </c>
      <c r="H6" s="5">
        <f>IF(COUNTBLANK(C6:G6)=5,"",SUM(C6:G6)/COUNT(C6:G20))</f>
        <v>0</v>
      </c>
      <c r="J6" s="35"/>
    </row>
    <row r="7" spans="1:10">
      <c r="A7" t="s">
        <v>121</v>
      </c>
      <c r="B7" s="55">
        <f>'Volumes etc.'!B7</f>
        <v>22.68</v>
      </c>
      <c r="C7" s="56">
        <f>'Volumes etc.'!H7</f>
        <v>0</v>
      </c>
      <c r="D7" s="56">
        <f>'Volumes etc.'!I7</f>
        <v>0</v>
      </c>
      <c r="E7" s="56">
        <f>'Volumes etc.'!J7</f>
        <v>0</v>
      </c>
      <c r="F7" s="56">
        <f>'Volumes etc.'!K7</f>
        <v>0</v>
      </c>
      <c r="G7" s="56">
        <f>'Volumes etc.'!L7</f>
        <v>0</v>
      </c>
      <c r="H7" s="5">
        <f>IF(COUNTBLANK(C7:G7)=5,"",SUM(C7:G7)/COUNT(C7:G21))</f>
        <v>0</v>
      </c>
      <c r="J7" s="35"/>
    </row>
    <row r="8" spans="1:10">
      <c r="A8" t="s">
        <v>11</v>
      </c>
      <c r="B8" s="55">
        <f>'Volumes etc.'!B5</f>
        <v>21</v>
      </c>
      <c r="C8" s="56">
        <f>'Volumes etc.'!H5</f>
        <v>0</v>
      </c>
      <c r="D8" s="56">
        <f>'Volumes etc.'!I5</f>
        <v>0</v>
      </c>
      <c r="E8" s="56">
        <f>'Volumes etc.'!J5</f>
        <v>0</v>
      </c>
      <c r="F8" s="56">
        <f>'Volumes etc.'!K5</f>
        <v>0</v>
      </c>
      <c r="G8" s="56">
        <f>'Volumes etc.'!L5</f>
        <v>0</v>
      </c>
      <c r="H8" s="5">
        <f>IF(COUNTBLANK(C8:G8)=5,"",SUM(C8:G8)/COUNT(C8:G22))</f>
        <v>0</v>
      </c>
      <c r="J8" s="35"/>
    </row>
    <row r="9" spans="1:10">
      <c r="B9" s="57"/>
      <c r="C9" s="56"/>
      <c r="D9" s="56"/>
      <c r="E9" s="56"/>
      <c r="F9" s="56"/>
      <c r="G9" s="56"/>
      <c r="H9" s="5"/>
    </row>
    <row r="10" spans="1:10">
      <c r="A10" s="1" t="s">
        <v>122</v>
      </c>
      <c r="B10" s="55">
        <f>'Volumes etc.'!B18</f>
        <v>5494.5439739413623</v>
      </c>
      <c r="C10" s="56">
        <f>'Volumes etc.'!H18</f>
        <v>0</v>
      </c>
      <c r="D10" s="56">
        <f>'Volumes etc.'!I18</f>
        <v>0</v>
      </c>
      <c r="E10" s="56">
        <f>'Volumes etc.'!J18</f>
        <v>0</v>
      </c>
      <c r="F10" s="56">
        <f>'Volumes etc.'!K18</f>
        <v>0</v>
      </c>
      <c r="G10" s="56">
        <f>'Volumes etc.'!L18</f>
        <v>0</v>
      </c>
      <c r="H10" s="5">
        <f>IF(COUNTBLANK(C10:G10)=5,"",SUM(C10:G10)/COUNT(C10:G26))</f>
        <v>0</v>
      </c>
      <c r="J10" s="35"/>
    </row>
    <row r="11" spans="1:10">
      <c r="B11" s="57"/>
      <c r="C11" s="56"/>
      <c r="D11" s="56"/>
      <c r="E11" s="56"/>
      <c r="F11" s="56"/>
      <c r="G11" s="56"/>
    </row>
    <row r="12" spans="1:10">
      <c r="A12" s="42" t="s">
        <v>123</v>
      </c>
      <c r="B12" s="58"/>
      <c r="C12" s="59"/>
      <c r="D12" s="59"/>
      <c r="E12" s="59"/>
      <c r="F12" s="59"/>
      <c r="G12" s="59"/>
      <c r="H12" s="60"/>
      <c r="J12" s="42"/>
    </row>
    <row r="13" spans="1:10">
      <c r="B13" s="57"/>
      <c r="C13" s="56"/>
      <c r="D13" s="56"/>
      <c r="E13" s="56"/>
      <c r="F13" s="56"/>
      <c r="G13" s="56"/>
    </row>
    <row r="14" spans="1:10">
      <c r="A14" t="s">
        <v>124</v>
      </c>
      <c r="B14" s="55">
        <f>'Volumes etc.'!B16</f>
        <v>1.0437901640330096</v>
      </c>
      <c r="C14" s="56">
        <f>'Volumes etc.'!H16</f>
        <v>0</v>
      </c>
      <c r="D14" s="56">
        <f>'Volumes etc.'!I16</f>
        <v>0</v>
      </c>
      <c r="E14" s="56">
        <f>'Volumes etc.'!J16</f>
        <v>0</v>
      </c>
      <c r="F14" s="56">
        <f>'Volumes etc.'!K16</f>
        <v>0</v>
      </c>
      <c r="G14" s="56">
        <f>'Volumes etc.'!L16</f>
        <v>0</v>
      </c>
      <c r="H14" s="5">
        <f>IF(COUNTBLANK(C14:G14)=5,"",SUM(C14:G14)/COUNT(C14:G27))</f>
        <v>0</v>
      </c>
      <c r="J14" s="35"/>
    </row>
    <row r="15" spans="1:10">
      <c r="A15" t="s">
        <v>23</v>
      </c>
      <c r="B15" s="55">
        <f>'Volumes etc.'!B10</f>
        <v>1.0509999999999999</v>
      </c>
      <c r="C15" s="56">
        <f>'Volumes etc.'!H10</f>
        <v>0</v>
      </c>
      <c r="D15" s="56">
        <f>'Volumes etc.'!I10</f>
        <v>0</v>
      </c>
      <c r="E15" s="56">
        <f>'Volumes etc.'!J10</f>
        <v>0</v>
      </c>
      <c r="F15" s="56">
        <f>'Volumes etc.'!K10</f>
        <v>0</v>
      </c>
      <c r="G15" s="56">
        <f>'Volumes etc.'!L10</f>
        <v>0</v>
      </c>
      <c r="H15" s="5">
        <f>IF(COUNTBLANK(C15:G15)=5,"",SUM(C15:G15)/COUNT(C15:G28))</f>
        <v>0</v>
      </c>
      <c r="J15" s="35"/>
    </row>
    <row r="17" spans="1:10">
      <c r="A17" s="1" t="s">
        <v>125</v>
      </c>
    </row>
    <row r="19" spans="1:10">
      <c r="A19" t="s">
        <v>126</v>
      </c>
      <c r="B19" s="36">
        <f t="shared" ref="B19:G19" si="0">((B14-1)*1000*B5*100)/(307*(B10/1000))</f>
        <v>80.000000000000071</v>
      </c>
      <c r="C19" s="36" t="e">
        <f t="shared" si="0"/>
        <v>#DIV/0!</v>
      </c>
      <c r="D19" s="36" t="e">
        <f t="shared" si="0"/>
        <v>#DIV/0!</v>
      </c>
      <c r="E19" s="36" t="e">
        <f t="shared" si="0"/>
        <v>#DIV/0!</v>
      </c>
      <c r="F19" s="36" t="e">
        <f t="shared" si="0"/>
        <v>#DIV/0!</v>
      </c>
      <c r="G19" s="36" t="e">
        <f t="shared" si="0"/>
        <v>#DIV/0!</v>
      </c>
      <c r="H19" s="5" t="e">
        <f>IF(COUNTBLANK(C19:G19)=5,"",SUM(C19:G19)/COUNT(C19:G32))</f>
        <v>#DIV/0!</v>
      </c>
      <c r="J19" s="36" t="e">
        <f>((J14-1)*1000*J5*100)/(307*(J10/1000))</f>
        <v>#DIV/0!</v>
      </c>
    </row>
    <row r="20" spans="1:10">
      <c r="A20" t="s">
        <v>127</v>
      </c>
      <c r="B20" s="36">
        <f t="shared" ref="B20:G20" si="1">((B15-1)*1000*B6*100)/(307*(B10/1000))</f>
        <v>80</v>
      </c>
      <c r="C20" s="36" t="e">
        <f t="shared" si="1"/>
        <v>#DIV/0!</v>
      </c>
      <c r="D20" s="36" t="e">
        <f t="shared" si="1"/>
        <v>#DIV/0!</v>
      </c>
      <c r="E20" s="36" t="e">
        <f t="shared" si="1"/>
        <v>#DIV/0!</v>
      </c>
      <c r="F20" s="36" t="e">
        <f t="shared" si="1"/>
        <v>#DIV/0!</v>
      </c>
      <c r="G20" s="36" t="e">
        <f t="shared" si="1"/>
        <v>#DIV/0!</v>
      </c>
      <c r="H20" s="5" t="e">
        <f>IF(COUNTBLANK(C20:G20)=5,"",SUM(C20:G20)/COUNT(C20:G33))</f>
        <v>#DIV/0!</v>
      </c>
      <c r="J20" s="36" t="e">
        <f>((J15-1)*1000*J6*100)/(307*(J10/1000))</f>
        <v>#DIV/0!</v>
      </c>
    </row>
    <row r="21" spans="1:10">
      <c r="A21" t="s">
        <v>128</v>
      </c>
      <c r="B21" s="36">
        <f t="shared" ref="B21:G21" si="2">((B15-1)*1000*B7*100)/(307*(B10/1000))</f>
        <v>68.571428571428555</v>
      </c>
      <c r="C21" s="36" t="e">
        <f t="shared" si="2"/>
        <v>#DIV/0!</v>
      </c>
      <c r="D21" s="36" t="e">
        <f t="shared" si="2"/>
        <v>#DIV/0!</v>
      </c>
      <c r="E21" s="36" t="e">
        <f t="shared" si="2"/>
        <v>#DIV/0!</v>
      </c>
      <c r="F21" s="36" t="e">
        <f t="shared" si="2"/>
        <v>#DIV/0!</v>
      </c>
      <c r="G21" s="36" t="e">
        <f t="shared" si="2"/>
        <v>#DIV/0!</v>
      </c>
      <c r="H21" s="5" t="e">
        <f>IF(COUNTBLANK(C21:G21)=5,"",SUM(C21:G21)/COUNT(C21:G34))</f>
        <v>#DIV/0!</v>
      </c>
      <c r="J21" s="36" t="e">
        <f>((J15-1)*1000*J7*100)/(307*(J10/1000))</f>
        <v>#DIV/0!</v>
      </c>
    </row>
    <row r="22" spans="1:10">
      <c r="A22" t="s">
        <v>129</v>
      </c>
      <c r="B22" s="36">
        <f t="shared" ref="B22:G22" si="3">((B15-1)*1000*B8*100)/(307*(B10/1000))</f>
        <v>63.49206349206348</v>
      </c>
      <c r="C22" s="36" t="e">
        <f t="shared" si="3"/>
        <v>#DIV/0!</v>
      </c>
      <c r="D22" s="36" t="e">
        <f t="shared" si="3"/>
        <v>#DIV/0!</v>
      </c>
      <c r="E22" s="36" t="e">
        <f t="shared" si="3"/>
        <v>#DIV/0!</v>
      </c>
      <c r="F22" s="36" t="e">
        <f t="shared" si="3"/>
        <v>#DIV/0!</v>
      </c>
      <c r="G22" s="36" t="e">
        <f t="shared" si="3"/>
        <v>#DIV/0!</v>
      </c>
      <c r="H22" s="5" t="e">
        <f>IF(COUNTBLANK(C22:G22)=5,"",SUM(C22:G22)/COUNT(C22:G35))</f>
        <v>#DIV/0!</v>
      </c>
      <c r="J22" s="36" t="e">
        <f>((J15-1)*1000*J8*100)/(307*(J10/1000))</f>
        <v>#DIV/0!</v>
      </c>
    </row>
    <row r="24" spans="1:10">
      <c r="A24" t="s">
        <v>130</v>
      </c>
    </row>
    <row r="25" spans="1:10">
      <c r="A25" t="s">
        <v>131</v>
      </c>
    </row>
    <row r="26" spans="1:10">
      <c r="A26" s="83" t="s">
        <v>132</v>
      </c>
      <c r="B26" s="83"/>
      <c r="C26" s="83"/>
      <c r="D26" s="83"/>
      <c r="E26" s="83"/>
      <c r="F26" s="83"/>
      <c r="G26" s="83"/>
      <c r="H26" s="83"/>
    </row>
    <row r="27" spans="1:10">
      <c r="A27" s="61" t="s">
        <v>133</v>
      </c>
    </row>
    <row r="30" spans="1:10">
      <c r="A30" s="28" t="s">
        <v>81</v>
      </c>
    </row>
  </sheetData>
  <sheetProtection selectLockedCells="1" selectUnlockedCells="1"/>
  <mergeCells count="1">
    <mergeCell ref="A26:H26"/>
  </mergeCells>
  <pageMargins left="0.7" right="0.7" top="0.75" bottom="0.75"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Volumes etc.</vt:lpstr>
      <vt:lpstr>Grain Bill</vt:lpstr>
      <vt:lpstr>Hop Bill</vt:lpstr>
      <vt:lpstr>Efficiency Calculator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Colony</cp:lastModifiedBy>
  <dcterms:created xsi:type="dcterms:W3CDTF">2012-02-16T16:22:50Z</dcterms:created>
  <dcterms:modified xsi:type="dcterms:W3CDTF">2012-02-16T18:32:05Z</dcterms:modified>
</cp:coreProperties>
</file>