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5315" windowHeight="6720"/>
  </bookViews>
  <sheets>
    <sheet name="Summary" sheetId="10" r:id="rId1"/>
    <sheet name="Gravity" sheetId="1" r:id="rId2"/>
    <sheet name="IBU" sheetId="2" r:id="rId3"/>
    <sheet name="SRM" sheetId="4" r:id="rId4"/>
    <sheet name="Mash" sheetId="7" r:id="rId5"/>
    <sheet name="Sheet1" sheetId="8" state="hidden" r:id="rId6"/>
  </sheets>
  <definedNames>
    <definedName name="_xlnm._FilterDatabase" localSheetId="5" hidden="1">Sheet1!$J$22</definedName>
  </definedNames>
  <calcPr calcId="125725"/>
</workbook>
</file>

<file path=xl/calcChain.xml><?xml version="1.0" encoding="utf-8"?>
<calcChain xmlns="http://schemas.openxmlformats.org/spreadsheetml/2006/main">
  <c r="J5" i="2"/>
  <c r="H34" i="7"/>
  <c r="H32"/>
  <c r="P28" i="2"/>
  <c r="D32" i="10"/>
  <c r="L53"/>
  <c r="L51"/>
  <c r="L49"/>
  <c r="L47"/>
  <c r="L45"/>
  <c r="L43"/>
  <c r="L41"/>
  <c r="L39"/>
  <c r="L37"/>
  <c r="K53"/>
  <c r="K51"/>
  <c r="K49"/>
  <c r="K47"/>
  <c r="K45"/>
  <c r="K43"/>
  <c r="K41"/>
  <c r="K39"/>
  <c r="K37"/>
  <c r="I53"/>
  <c r="I51"/>
  <c r="I49"/>
  <c r="I47"/>
  <c r="I45"/>
  <c r="I43"/>
  <c r="I41"/>
  <c r="I39"/>
  <c r="I37"/>
  <c r="C53"/>
  <c r="C51"/>
  <c r="C49"/>
  <c r="C47"/>
  <c r="C45"/>
  <c r="C43"/>
  <c r="C41"/>
  <c r="C39"/>
  <c r="C37"/>
  <c r="B53"/>
  <c r="B51"/>
  <c r="B49"/>
  <c r="B47"/>
  <c r="B45"/>
  <c r="B43"/>
  <c r="B41"/>
  <c r="B39"/>
  <c r="B37"/>
  <c r="G41"/>
  <c r="G39"/>
  <c r="G37"/>
  <c r="F41"/>
  <c r="F39"/>
  <c r="F37"/>
  <c r="K2" i="1"/>
  <c r="E2"/>
  <c r="D4" i="4"/>
  <c r="F30"/>
  <c r="F28"/>
  <c r="F26"/>
  <c r="B30"/>
  <c r="B28"/>
  <c r="B26"/>
  <c r="L29" i="1"/>
  <c r="I29" s="1"/>
  <c r="E1" i="7"/>
  <c r="K1" i="2"/>
  <c r="L10" i="8"/>
  <c r="F24" i="4"/>
  <c r="F22"/>
  <c r="F20"/>
  <c r="F18"/>
  <c r="F16"/>
  <c r="F14"/>
  <c r="F12"/>
  <c r="F10"/>
  <c r="F8"/>
  <c r="B24"/>
  <c r="B22"/>
  <c r="B20"/>
  <c r="B18"/>
  <c r="B16"/>
  <c r="B14"/>
  <c r="B12"/>
  <c r="B10"/>
  <c r="B8"/>
  <c r="A3" i="8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N25" i="2"/>
  <c r="J25"/>
  <c r="N23"/>
  <c r="J23"/>
  <c r="N21"/>
  <c r="J21"/>
  <c r="H10" i="4" l="1"/>
  <c r="H18"/>
  <c r="H26"/>
  <c r="H28"/>
  <c r="P1" i="2"/>
  <c r="J1" i="7"/>
  <c r="M2" i="4"/>
  <c r="M1" i="2"/>
  <c r="I2" i="4"/>
  <c r="G1" i="7"/>
  <c r="I27" i="1"/>
  <c r="I25"/>
  <c r="I15"/>
  <c r="B9" i="7"/>
  <c r="B12" s="1"/>
  <c r="C19" s="1"/>
  <c r="B30" s="1"/>
  <c r="B37" s="1"/>
  <c r="K8" i="1" s="1"/>
  <c r="I23"/>
  <c r="I17"/>
  <c r="I19"/>
  <c r="I13"/>
  <c r="I21"/>
  <c r="H8" i="4"/>
  <c r="H16"/>
  <c r="H24"/>
  <c r="H14"/>
  <c r="H22"/>
  <c r="H30"/>
  <c r="H12"/>
  <c r="H20"/>
  <c r="B120" i="7"/>
  <c r="B108"/>
  <c r="B96"/>
  <c r="B79"/>
  <c r="B58"/>
  <c r="N19" i="2"/>
  <c r="N17"/>
  <c r="N15"/>
  <c r="N13"/>
  <c r="N11"/>
  <c r="N9"/>
  <c r="J19"/>
  <c r="J17"/>
  <c r="J15"/>
  <c r="J13"/>
  <c r="J11"/>
  <c r="J9"/>
  <c r="D49" i="1"/>
  <c r="G29"/>
  <c r="G27"/>
  <c r="G25"/>
  <c r="G23"/>
  <c r="G21"/>
  <c r="G19"/>
  <c r="G17"/>
  <c r="G15"/>
  <c r="G13"/>
  <c r="G42" i="7" l="1"/>
  <c r="G40"/>
  <c r="I33" i="4"/>
  <c r="B17" i="7"/>
  <c r="E19" s="1"/>
  <c r="F12"/>
  <c r="C65" s="1"/>
  <c r="I32" i="1"/>
  <c r="I34" s="1"/>
  <c r="H49" l="1"/>
  <c r="F5" i="2"/>
  <c r="B67" i="7"/>
  <c r="B77" s="1"/>
  <c r="C86" s="1"/>
  <c r="B56"/>
  <c r="L37" i="4"/>
  <c r="L39"/>
  <c r="E17" i="10" s="1"/>
  <c r="L35" i="4"/>
  <c r="I36" i="1"/>
  <c r="E52"/>
  <c r="E14" i="10" l="1"/>
  <c r="J32" i="8"/>
  <c r="G17" i="10"/>
  <c r="K14" i="8"/>
  <c r="P10" s="1"/>
  <c r="P11" s="1"/>
  <c r="L23" i="2"/>
  <c r="L21"/>
  <c r="L19"/>
  <c r="L11"/>
  <c r="L25"/>
  <c r="L13"/>
  <c r="L9"/>
  <c r="L15"/>
  <c r="L17"/>
  <c r="B88" i="7"/>
  <c r="H52" i="1" l="1"/>
  <c r="P13" i="2"/>
  <c r="Q13"/>
  <c r="P21"/>
  <c r="Q21"/>
  <c r="P9"/>
  <c r="Q9"/>
  <c r="P19"/>
  <c r="Q19"/>
  <c r="P15"/>
  <c r="Q15"/>
  <c r="P11"/>
  <c r="Q11"/>
  <c r="P17"/>
  <c r="Q17"/>
  <c r="P25"/>
  <c r="Q25"/>
  <c r="P23"/>
  <c r="Q23"/>
  <c r="N14" i="8"/>
  <c r="H55" i="1"/>
  <c r="B101" i="7"/>
  <c r="B113"/>
  <c r="B125"/>
  <c r="N28" i="2" l="1"/>
  <c r="N30" s="1"/>
  <c r="E16" i="10" s="1"/>
  <c r="E15"/>
  <c r="J34" i="8"/>
  <c r="J27"/>
  <c r="K17"/>
  <c r="E58" i="1" s="1"/>
  <c r="E18" i="10" s="1"/>
  <c r="K55" i="1" l="1"/>
  <c r="J36" i="8"/>
  <c r="F61" i="1" s="1"/>
  <c r="J29" i="8"/>
  <c r="L27"/>
  <c r="H58" i="1" s="1"/>
  <c r="J39" i="8" l="1"/>
  <c r="E19" i="10" s="1"/>
</calcChain>
</file>

<file path=xl/sharedStrings.xml><?xml version="1.0" encoding="utf-8"?>
<sst xmlns="http://schemas.openxmlformats.org/spreadsheetml/2006/main" count="245" uniqueCount="200">
  <si>
    <t>GRAIN TYPE</t>
  </si>
  <si>
    <t>GRAVITY POINTS</t>
  </si>
  <si>
    <t>POUNDS</t>
  </si>
  <si>
    <t xml:space="preserve">TOTAL GRAVITY POINTS = </t>
  </si>
  <si>
    <t xml:space="preserve">BOIL GRAVITY = </t>
  </si>
  <si>
    <t xml:space="preserve">Estimated O.G. = </t>
  </si>
  <si>
    <t>SUGAR TYPE</t>
  </si>
  <si>
    <t>Estimated O.G. =</t>
  </si>
  <si>
    <t>BATCH SIZE =</t>
  </si>
  <si>
    <t>EFFICIENCY =</t>
  </si>
  <si>
    <t>BOIL VOLUME =</t>
  </si>
  <si>
    <t>HOP VARIETY</t>
  </si>
  <si>
    <t>AA%</t>
  </si>
  <si>
    <t>Oz.</t>
  </si>
  <si>
    <t>BOIL TIME</t>
  </si>
  <si>
    <t>AAU</t>
  </si>
  <si>
    <t>IBU</t>
  </si>
  <si>
    <t xml:space="preserve">TOTAL IBU = </t>
  </si>
  <si>
    <t>fg</t>
  </si>
  <si>
    <t>ft</t>
  </si>
  <si>
    <t>NOTE:</t>
  </si>
  <si>
    <t>Boil time is in minutes.</t>
  </si>
  <si>
    <t>(use for IBU calcs, sugars added late)</t>
  </si>
  <si>
    <t>LEGEND:</t>
  </si>
  <si>
    <t>Data entry Fields</t>
  </si>
  <si>
    <t>Intermediate calculations</t>
  </si>
  <si>
    <t>Results</t>
  </si>
  <si>
    <t>MCU</t>
  </si>
  <si>
    <t>TOTAL MCU =</t>
  </si>
  <si>
    <t>If less than 8, use for SRM</t>
  </si>
  <si>
    <t>Mid-range =</t>
  </si>
  <si>
    <t>or =</t>
  </si>
  <si>
    <t>L of grain</t>
  </si>
  <si>
    <t>SRM =</t>
  </si>
  <si>
    <t xml:space="preserve">BEER NAME: </t>
  </si>
  <si>
    <t>STYLE:</t>
  </si>
  <si>
    <t>BREWING NOTES:</t>
  </si>
  <si>
    <t>INFUSION MASH STRIKE WATER CALCS</t>
  </si>
  <si>
    <t>Ts=(Tf-Tg)(((4M/P)+0.19)P/V)+Tf</t>
  </si>
  <si>
    <t>Tf:  Final mash (target) Temp =</t>
  </si>
  <si>
    <t>Tg: Grain Temp. =</t>
  </si>
  <si>
    <t>P :Pounds of Grain =</t>
  </si>
  <si>
    <t xml:space="preserve">Mash Thickness (quarts/pound) </t>
  </si>
  <si>
    <t>V: volume of strike liquor (quarts) =</t>
  </si>
  <si>
    <t>M :thermal mass of tun =</t>
  </si>
  <si>
    <t>(if Tun not pre-heated use 0.30)</t>
  </si>
  <si>
    <t>Ts: strike liquor Temp. =</t>
  </si>
  <si>
    <t>Heat</t>
  </si>
  <si>
    <t>gallons to</t>
  </si>
  <si>
    <t>degrees</t>
  </si>
  <si>
    <t>Vd=(T2-T1)/(212-T1)*Vt</t>
  </si>
  <si>
    <t>Vs = ((((4M/P)+0.19)P +Vt)(Tf-Tm))/(Tb-Tf)</t>
  </si>
  <si>
    <t>gallons</t>
  </si>
  <si>
    <t>T1: Temp. of original Mash =</t>
  </si>
  <si>
    <t>(or last rest)</t>
  </si>
  <si>
    <t>Vt: Initial Volume of Mash =</t>
  </si>
  <si>
    <t>T2: desired Temp of next rest =</t>
  </si>
  <si>
    <t>Tm: Mash Temp. =</t>
  </si>
  <si>
    <t>Vd: Decoction Volume =</t>
  </si>
  <si>
    <t>Tf: Desired Temp. of next Rest =</t>
  </si>
  <si>
    <t>Tb: Temp. of boiling water =</t>
  </si>
  <si>
    <t>Vs: Volume of boiling water to add =</t>
  </si>
  <si>
    <t xml:space="preserve">Mash volume = </t>
  </si>
  <si>
    <t>STEP/DECOCTION MASH CALCS</t>
  </si>
  <si>
    <t>STEP MASH #1</t>
  </si>
  <si>
    <t>New Mash Volume =</t>
  </si>
  <si>
    <t>STEP MASH #2</t>
  </si>
  <si>
    <t>DECOCTION MASH #1</t>
  </si>
  <si>
    <t>DECOCTION MASH #2</t>
  </si>
  <si>
    <t>DECOCTION MASH #3</t>
  </si>
  <si>
    <t>MCU*0.46</t>
  </si>
  <si>
    <t>(MCU*0.2)1.4922</t>
  </si>
  <si>
    <t>(grain only, if sugars or extract added see below)</t>
  </si>
  <si>
    <t>NOTE: if skipping, enter same temp as last rest ("Tm" above)!</t>
  </si>
  <si>
    <t>COLOR ESTIMATE CALCULATIONS</t>
  </si>
  <si>
    <r>
      <rPr>
        <b/>
        <i/>
        <sz val="11"/>
        <color theme="1"/>
        <rFont val="Calibri"/>
        <family val="2"/>
        <scheme val="minor"/>
      </rPr>
      <t>GRAVITY CALCULATIONS</t>
    </r>
    <r>
      <rPr>
        <sz val="11"/>
        <color theme="1"/>
        <rFont val="Calibri"/>
        <family val="2"/>
        <scheme val="minor"/>
      </rPr>
      <t>:</t>
    </r>
  </si>
  <si>
    <t xml:space="preserve">BATCH SIZE = </t>
  </si>
  <si>
    <t>POTENTIAL</t>
  </si>
  <si>
    <t>Estimated BOIL GRAVITY =</t>
  </si>
  <si>
    <t>Morey equation (MCU^0.6859)1.4922</t>
  </si>
  <si>
    <t>MASH NOTES:</t>
  </si>
  <si>
    <t xml:space="preserve">                Utilization</t>
  </si>
  <si>
    <t>Constant</t>
  </si>
  <si>
    <t>D. G. 0.000 0.001 0.002 0.003 0.004 0.005 0.006 0.007 0.008 0.009</t>
  </si>
  <si>
    <t>----- ----- ----- ----- ----- ----- ----- ----- ----- ----- -----</t>
  </si>
  <si>
    <t xml:space="preserve">1.000  0.0   0.1   0.3   0.4   0.5   0.6   0.8   0.9   1.0   1.2 </t>
  </si>
  <si>
    <t xml:space="preserve">1.010  1.3   1.4   1.6   1.7   1.8   2.0   2.1   2.2   2.4   2.5 </t>
  </si>
  <si>
    <t xml:space="preserve">1.020  2.6   2.7   2.9   3.0   3.1   3.3   3.4   3.5   3.7   3.8 </t>
  </si>
  <si>
    <t xml:space="preserve">1.030  3.9   4.0   4.2   4.3   4.4   4.6   4.7   4.8   5.0   5.1 </t>
  </si>
  <si>
    <t xml:space="preserve">1.040  5.2   5.4   5.5   5.6   5.8   5.9   6.0   6.1   6.3   6.4 </t>
  </si>
  <si>
    <t xml:space="preserve">1.050  6.5   6.7   6.8   6.9   7.1   7.2   7.3   7.4   7.6   7.7 </t>
  </si>
  <si>
    <t xml:space="preserve">1.060  7.8   8.0   8.1   8.2   8.4   8.5   8.6   8.8   8.9   9.0 </t>
  </si>
  <si>
    <t xml:space="preserve">1.070  9.2   9.3   9.4   9.5   9.7   9.8   9.9  10.1  10.2  10.3 </t>
  </si>
  <si>
    <t xml:space="preserve">1.080 10.5  10.6  10.7  10.8  11.0  11.1  11.2  11.4  11.5  11.6 </t>
  </si>
  <si>
    <t xml:space="preserve">1.090 11.8  11.9  12.0  12.2  12.3  12.4  12.6  12.7  12.8  12.9 </t>
  </si>
  <si>
    <t xml:space="preserve">1.100 13.1  13.2  13.3  13.5  13.6  13.7  13.9  14.0  14.1  14.2 </t>
  </si>
  <si>
    <t xml:space="preserve">1.110 14.4  14.5  14.6  14.8  14.9  15.0  15.2  15.3  15.4  15.6 </t>
  </si>
  <si>
    <t xml:space="preserve">1.120 15.7  15.8  16.0  16.1  16.2  16.3  16.5  16.6  16.7  16.9 </t>
  </si>
  <si>
    <t xml:space="preserve">1.130 17.0  17.1  17.3  17.4  17.5  17.6  17.8  17.9  18.0  18.2 </t>
  </si>
  <si>
    <t xml:space="preserve">1.140 18.3  18.4  18.6  18.7  18.8  19.0  19.1  19.2  19.4  19.5 </t>
  </si>
  <si>
    <t xml:space="preserve">1.150 19.6  19.8  19.9  20.0  20.1  20.3  20.4  20.5  20.7  20.8 </t>
  </si>
  <si>
    <t>Column1</t>
  </si>
  <si>
    <t>Column2</t>
  </si>
  <si>
    <t xml:space="preserve">O.G. = </t>
  </si>
  <si>
    <t>Estimated APV =</t>
  </si>
  <si>
    <t>%</t>
  </si>
  <si>
    <t>Estimated F.G. =</t>
  </si>
  <si>
    <t>Atten.</t>
  </si>
  <si>
    <t>OG  points</t>
  </si>
  <si>
    <t>FG points</t>
  </si>
  <si>
    <t>APV =</t>
  </si>
  <si>
    <t>DATA and CALCULATIONS ONLY</t>
  </si>
  <si>
    <t>DO NOT ALTER</t>
  </si>
  <si>
    <t>Delta =</t>
  </si>
  <si>
    <t>BEER NAME:</t>
  </si>
  <si>
    <t xml:space="preserve">                                 Attenuation =</t>
  </si>
  <si>
    <t>pounds</t>
  </si>
  <si>
    <t xml:space="preserve">              Grain total =</t>
  </si>
  <si>
    <t xml:space="preserve">     GRAVITY POINTS</t>
  </si>
  <si>
    <t>% of grist</t>
  </si>
  <si>
    <t xml:space="preserve">            TOTAL SUGAR GRAVITY POINTS =</t>
  </si>
  <si>
    <t>% of fermentables =</t>
  </si>
  <si>
    <t>SUMMARY</t>
  </si>
  <si>
    <t>O.G. =</t>
  </si>
  <si>
    <t>F.G. =</t>
  </si>
  <si>
    <t>IBU =</t>
  </si>
  <si>
    <t>best guess =</t>
  </si>
  <si>
    <t>Piping Pig Pub Beer Calculator</t>
  </si>
  <si>
    <t>J. W. Kent</t>
  </si>
  <si>
    <t>Style:</t>
  </si>
  <si>
    <t>Beer Name:</t>
  </si>
  <si>
    <t>BJCP category:</t>
  </si>
  <si>
    <t>Type:</t>
  </si>
  <si>
    <t>Pounds:</t>
  </si>
  <si>
    <t>Variety:</t>
  </si>
  <si>
    <t>RECIPE SUMMARY</t>
  </si>
  <si>
    <t>Yeast:</t>
  </si>
  <si>
    <t>(Final Gravity)</t>
  </si>
  <si>
    <t>(Bitterness)</t>
  </si>
  <si>
    <t>(Color)</t>
  </si>
  <si>
    <t>(Alcohol)</t>
  </si>
  <si>
    <t>(Original Gravity)</t>
  </si>
  <si>
    <t xml:space="preserve">              Grain:</t>
  </si>
  <si>
    <t xml:space="preserve">               Sugars:</t>
  </si>
  <si>
    <t xml:space="preserve">                               Hops:</t>
  </si>
  <si>
    <t xml:space="preserve">          Oz.:</t>
  </si>
  <si>
    <t xml:space="preserve">    Boil Time:</t>
  </si>
  <si>
    <t>Gallon batch</t>
  </si>
  <si>
    <t>P/W</t>
  </si>
  <si>
    <t>Pellet</t>
  </si>
  <si>
    <t>Whole</t>
  </si>
  <si>
    <t>Totals =</t>
  </si>
  <si>
    <t>(P)</t>
  </si>
  <si>
    <t>(W)</t>
  </si>
  <si>
    <t xml:space="preserve">IBU CALCULATIONS: </t>
  </si>
  <si>
    <t>Calculations per Tinseth.</t>
  </si>
  <si>
    <t>place "P" for Pellet Hops and "W" for whole hops in column A.</t>
  </si>
  <si>
    <t>P</t>
  </si>
  <si>
    <t>calculated APV =</t>
  </si>
  <si>
    <t>calculated APW =</t>
  </si>
  <si>
    <t>Pi =</t>
  </si>
  <si>
    <t>Pf =</t>
  </si>
  <si>
    <t>RE =</t>
  </si>
  <si>
    <t>calories per 12oz</t>
  </si>
  <si>
    <t>Calories per 12-oz bottle =</t>
  </si>
  <si>
    <t>% (by table)</t>
  </si>
  <si>
    <t>% (by calculation)</t>
  </si>
  <si>
    <t>Plato =</t>
  </si>
  <si>
    <t>RE (real extract) =</t>
  </si>
  <si>
    <t>Grain Apsorbtion =</t>
  </si>
  <si>
    <t>gal/pound</t>
  </si>
  <si>
    <t>System Dead Space:</t>
  </si>
  <si>
    <t>gal.</t>
  </si>
  <si>
    <t xml:space="preserve">First Runnings Volume = </t>
  </si>
  <si>
    <t>First Sparge</t>
  </si>
  <si>
    <t>gallons added</t>
  </si>
  <si>
    <t>Second Sparge</t>
  </si>
  <si>
    <t xml:space="preserve">second runnings volume = </t>
  </si>
  <si>
    <t xml:space="preserve">Third runnings volume = </t>
  </si>
  <si>
    <t xml:space="preserve">Boil Volume = </t>
  </si>
  <si>
    <t>BATCH SPARGE WATER CACULATIONS:</t>
  </si>
  <si>
    <t xml:space="preserve">15% evaporation = </t>
  </si>
  <si>
    <t>20% evaporation =</t>
  </si>
  <si>
    <t>gal</t>
  </si>
  <si>
    <t>Post-Boil Volume Estimate</t>
  </si>
  <si>
    <t>Note: First Runnings volume above is not</t>
  </si>
  <si>
    <t>valid if Step Mash or Decoction Mash is performed.</t>
  </si>
  <si>
    <t>Hadrian's Wall</t>
  </si>
  <si>
    <t>Heather, Honey Ale</t>
  </si>
  <si>
    <t>Golden Promise Malt</t>
  </si>
  <si>
    <t>Crystal 60</t>
  </si>
  <si>
    <t>Roasted Barley</t>
  </si>
  <si>
    <t>Honey</t>
  </si>
  <si>
    <t>Fuggle</t>
  </si>
  <si>
    <t>Victory Malt</t>
  </si>
  <si>
    <t>Batch Sparge twice  @ 170 degrees each.</t>
  </si>
  <si>
    <t>Add 2- ounces of Heather tips to first runnings (first wort "hopped").</t>
  </si>
  <si>
    <t>Add 1-oz Sweet gale and 1-oz Heather 15-min. left in boil</t>
  </si>
  <si>
    <t>Single Infusion Mash at 155.</t>
  </si>
  <si>
    <t>S-05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</si>
</sst>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32501"/>
        <bgColor indexed="64"/>
      </patternFill>
    </fill>
    <fill>
      <patternFill patternType="solid">
        <fgColor rgb="FFEAE799"/>
        <bgColor indexed="64"/>
      </patternFill>
    </fill>
    <fill>
      <patternFill patternType="solid">
        <fgColor rgb="FFFDD978"/>
        <bgColor indexed="64"/>
      </patternFill>
    </fill>
    <fill>
      <patternFill patternType="solid">
        <fgColor rgb="FFFDCB5A"/>
        <bgColor indexed="64"/>
      </patternFill>
    </fill>
    <fill>
      <patternFill patternType="solid">
        <fgColor rgb="FFFCC143"/>
        <bgColor indexed="64"/>
      </patternFill>
    </fill>
    <fill>
      <patternFill patternType="solid">
        <fgColor rgb="FFF7B324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3" fillId="0" borderId="0" xfId="0" applyFont="1"/>
    <xf numFmtId="0" fontId="0" fillId="5" borderId="0" xfId="0" applyFill="1"/>
    <xf numFmtId="164" fontId="0" fillId="4" borderId="0" xfId="0" applyNumberFormat="1" applyFill="1"/>
    <xf numFmtId="2" fontId="0" fillId="4" borderId="0" xfId="0" applyNumberFormat="1" applyFill="1"/>
    <xf numFmtId="0" fontId="2" fillId="3" borderId="0" xfId="0" applyFont="1" applyFill="1"/>
    <xf numFmtId="0" fontId="4" fillId="0" borderId="0" xfId="0" applyFont="1"/>
    <xf numFmtId="0" fontId="0" fillId="0" borderId="0" xfId="0" applyFont="1"/>
    <xf numFmtId="165" fontId="0" fillId="3" borderId="0" xfId="0" applyNumberFormat="1" applyFill="1"/>
    <xf numFmtId="165" fontId="0" fillId="4" borderId="0" xfId="0" applyNumberFormat="1" applyFill="1"/>
    <xf numFmtId="1" fontId="0" fillId="4" borderId="0" xfId="0" applyNumberFormat="1" applyFill="1"/>
    <xf numFmtId="164" fontId="0" fillId="0" borderId="0" xfId="0" applyNumberFormat="1"/>
    <xf numFmtId="1" fontId="0" fillId="0" borderId="0" xfId="0" applyNumberFormat="1"/>
    <xf numFmtId="0" fontId="2" fillId="0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/>
    <xf numFmtId="0" fontId="6" fillId="2" borderId="0" xfId="0" applyFont="1" applyFill="1" applyProtection="1">
      <protection locked="0"/>
    </xf>
    <xf numFmtId="165" fontId="0" fillId="0" borderId="0" xfId="0" applyNumberFormat="1"/>
    <xf numFmtId="166" fontId="0" fillId="0" borderId="0" xfId="0" applyNumberFormat="1"/>
    <xf numFmtId="0" fontId="0" fillId="3" borderId="0" xfId="0" applyFill="1" applyProtection="1">
      <protection locked="0"/>
    </xf>
    <xf numFmtId="0" fontId="0" fillId="12" borderId="0" xfId="0" applyFill="1"/>
    <xf numFmtId="0" fontId="5" fillId="0" borderId="0" xfId="0" applyFont="1" applyFill="1"/>
  </cellXfs>
  <cellStyles count="1">
    <cellStyle name="Normal" xfId="0" builtinId="0"/>
  </cellStyles>
  <dxfs count="42">
    <dxf>
      <numFmt numFmtId="0" formatCode="General"/>
      <fill>
        <patternFill>
          <bgColor rgb="FFFEE78F"/>
        </patternFill>
      </fill>
    </dxf>
    <dxf>
      <numFmt numFmtId="0" formatCode="General"/>
      <fill>
        <patternFill>
          <bgColor rgb="FFFDD978"/>
        </patternFill>
      </fill>
    </dxf>
    <dxf>
      <fill>
        <patternFill>
          <bgColor rgb="FFFDCB5A"/>
        </patternFill>
      </fill>
    </dxf>
    <dxf>
      <fill>
        <patternFill>
          <bgColor rgb="FFAC4701"/>
        </patternFill>
      </fill>
    </dxf>
    <dxf>
      <fill>
        <patternFill>
          <bgColor rgb="FFF7B324"/>
        </patternFill>
      </fill>
    </dxf>
    <dxf>
      <fill>
        <patternFill>
          <bgColor rgb="FFFCC143"/>
        </patternFill>
      </fill>
    </dxf>
    <dxf>
      <numFmt numFmtId="0" formatCode="General"/>
      <fill>
        <patternFill>
          <bgColor rgb="FFF5A800"/>
        </patternFill>
      </fill>
    </dxf>
    <dxf>
      <numFmt numFmtId="0" formatCode="General"/>
      <fill>
        <patternFill>
          <bgColor rgb="FFEE9E00"/>
        </patternFill>
      </fill>
    </dxf>
    <dxf>
      <fill>
        <patternFill>
          <bgColor rgb="FFE69100"/>
        </patternFill>
      </fill>
    </dxf>
    <dxf>
      <numFmt numFmtId="0" formatCode="General"/>
      <fill>
        <patternFill>
          <bgColor rgb="FFE38901"/>
        </patternFill>
      </fill>
    </dxf>
    <dxf>
      <numFmt numFmtId="0" formatCode="General"/>
      <fill>
        <patternFill>
          <bgColor rgb="FFDA7E01"/>
        </patternFill>
      </fill>
    </dxf>
    <dxf>
      <fill>
        <patternFill>
          <bgColor rgb="FFD37400"/>
        </patternFill>
      </fill>
    </dxf>
    <dxf>
      <fill>
        <patternFill>
          <bgColor rgb="FFCB6C00"/>
        </patternFill>
      </fill>
    </dxf>
    <dxf>
      <fill>
        <patternFill>
          <bgColor rgb="FFC66401"/>
        </patternFill>
      </fill>
    </dxf>
    <dxf>
      <fill>
        <patternFill>
          <bgColor rgb="FFBF5C01"/>
        </patternFill>
      </fill>
    </dxf>
    <dxf>
      <fill>
        <patternFill>
          <bgColor rgb="FFB65300"/>
        </patternFill>
      </fill>
    </dxf>
    <dxf>
      <fill>
        <patternFill>
          <bgColor rgb="FFB04F00"/>
        </patternFill>
      </fill>
    </dxf>
    <dxf>
      <fill>
        <patternFill>
          <bgColor rgb="FFAC4701"/>
        </patternFill>
      </fill>
    </dxf>
    <dxf>
      <fill>
        <patternFill>
          <bgColor rgb="FFA24001"/>
        </patternFill>
      </fill>
    </dxf>
    <dxf>
      <fill>
        <patternFill>
          <bgColor rgb="FF9C3900"/>
        </patternFill>
      </fill>
    </dxf>
    <dxf>
      <fill>
        <patternFill>
          <bgColor rgb="FF963500"/>
        </patternFill>
      </fill>
    </dxf>
    <dxf>
      <fill>
        <patternFill>
          <bgColor rgb="FF912F00"/>
        </patternFill>
      </fill>
    </dxf>
    <dxf>
      <fill>
        <patternFill>
          <bgColor rgb="FF8C2D01"/>
        </patternFill>
      </fill>
    </dxf>
    <dxf>
      <fill>
        <patternFill>
          <bgColor rgb="FF832501"/>
        </patternFill>
      </fill>
    </dxf>
    <dxf>
      <fill>
        <patternFill>
          <bgColor rgb="FF7E1F01"/>
        </patternFill>
      </fill>
    </dxf>
    <dxf>
      <fill>
        <patternFill>
          <bgColor rgb="FF771C01"/>
        </patternFill>
      </fill>
    </dxf>
    <dxf>
      <fill>
        <patternFill>
          <bgColor rgb="FF721B00"/>
        </patternFill>
      </fill>
    </dxf>
    <dxf>
      <fill>
        <patternFill>
          <bgColor rgb="FF6C1501"/>
        </patternFill>
      </fill>
    </dxf>
    <dxf>
      <fill>
        <patternFill>
          <bgColor rgb="FF670F01"/>
        </patternFill>
      </fill>
    </dxf>
    <dxf>
      <fill>
        <patternFill>
          <bgColor rgb="FF620F01"/>
        </patternFill>
      </fill>
    </dxf>
    <dxf>
      <fill>
        <patternFill>
          <bgColor rgb="FF5B0D01"/>
        </patternFill>
      </fill>
    </dxf>
    <dxf>
      <fill>
        <patternFill>
          <bgColor rgb="FF560C03"/>
        </patternFill>
      </fill>
    </dxf>
    <dxf>
      <fill>
        <patternFill>
          <bgColor rgb="FF5D0A02"/>
        </patternFill>
      </fill>
    </dxf>
    <dxf>
      <fill>
        <patternFill>
          <bgColor rgb="FF500A08"/>
        </patternFill>
      </fill>
    </dxf>
    <dxf>
      <fill>
        <patternFill>
          <bgColor rgb="FF4A0605"/>
        </patternFill>
      </fill>
    </dxf>
    <dxf>
      <fill>
        <patternFill>
          <bgColor rgb="FF440706"/>
        </patternFill>
      </fill>
    </dxf>
    <dxf>
      <fill>
        <patternFill>
          <bgColor rgb="FF420807"/>
        </patternFill>
      </fill>
    </dxf>
    <dxf>
      <fill>
        <patternFill>
          <bgColor rgb="FF3C0908"/>
        </patternFill>
      </fill>
    </dxf>
    <dxf>
      <fill>
        <patternFill>
          <bgColor rgb="FF390708"/>
        </patternFill>
      </fill>
    </dxf>
    <dxf>
      <fill>
        <patternFill>
          <bgColor rgb="FF39080B"/>
        </patternFill>
      </fill>
    </dxf>
    <dxf>
      <fill>
        <patternFill>
          <bgColor rgb="FF35090A"/>
        </patternFill>
      </fill>
    </dxf>
    <dxf>
      <fill>
        <patternFill>
          <bgColor rgb="FF35090A"/>
        </patternFill>
      </fill>
    </dxf>
  </dxfs>
  <tableStyles count="0" defaultTableStyle="TableStyleMedium9" defaultPivotStyle="PivotStyleLight16"/>
  <colors>
    <mruColors>
      <color rgb="FF35090A"/>
      <color rgb="FF39080B"/>
      <color rgb="FF390708"/>
      <color rgb="FF3C0908"/>
      <color rgb="FF420807"/>
      <color rgb="FF440706"/>
      <color rgb="FF4A0605"/>
      <color rgb="FF500A08"/>
      <color rgb="FF5D0A02"/>
      <color rgb="FF560C0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11</xdr:col>
      <xdr:colOff>28575</xdr:colOff>
      <xdr:row>76</xdr:row>
      <xdr:rowOff>47625</xdr:rowOff>
    </xdr:to>
    <xdr:pic>
      <xdr:nvPicPr>
        <xdr:cNvPr id="2" name="Picture 1" descr="hopsgrap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6667500"/>
          <a:ext cx="5715000" cy="7858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14</xdr:col>
      <xdr:colOff>209550</xdr:colOff>
      <xdr:row>68</xdr:row>
      <xdr:rowOff>0</xdr:rowOff>
    </xdr:to>
    <xdr:pic>
      <xdr:nvPicPr>
        <xdr:cNvPr id="2" name="Picture 1" descr="SRM_Beer_Color_Char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8001000"/>
          <a:ext cx="7877175" cy="4953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B161" totalsRowShown="0">
  <autoFilter ref="A1:B161"/>
  <tableColumns count="2">
    <tableColumn id="1" name="Column1">
      <calculatedColumnFormula xml:space="preserve"> A1+0.001</calculatedColumnFormula>
    </tableColumn>
    <tableColumn id="2" name="Column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I144:J184" totalsRowShown="0">
  <autoFilter ref="I144:J184"/>
  <tableColumns count="2">
    <tableColumn id="1" name="Column1"/>
    <tableColumn id="2" name="Column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65"/>
  <sheetViews>
    <sheetView tabSelected="1" topLeftCell="A10" workbookViewId="0">
      <selection activeCell="I32" sqref="I32"/>
    </sheetView>
  </sheetViews>
  <sheetFormatPr defaultRowHeight="15"/>
  <sheetData>
    <row r="2" spans="2:19" ht="21">
      <c r="B2" s="30" t="s">
        <v>127</v>
      </c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2:19">
      <c r="B3" t="s">
        <v>128</v>
      </c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19"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2:19"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2:19" ht="18.75">
      <c r="B6" s="5" t="s">
        <v>130</v>
      </c>
      <c r="D6" s="31" t="s">
        <v>187</v>
      </c>
      <c r="E6" s="25"/>
      <c r="F6" s="25"/>
      <c r="G6" s="28"/>
      <c r="H6" s="28"/>
      <c r="I6" s="28"/>
      <c r="J6" s="28"/>
      <c r="K6" s="28"/>
      <c r="L6" s="29"/>
      <c r="M6" s="28"/>
      <c r="N6" s="28"/>
      <c r="O6" s="28"/>
      <c r="P6" s="28"/>
      <c r="Q6" s="28"/>
      <c r="R6" s="28"/>
      <c r="S6" s="28"/>
    </row>
    <row r="7" spans="2:19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2:19" ht="18.75">
      <c r="B8" s="5" t="s">
        <v>129</v>
      </c>
      <c r="D8" s="31" t="s">
        <v>188</v>
      </c>
      <c r="E8" s="25"/>
      <c r="F8" s="25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2:19" ht="18.75">
      <c r="B9" s="5" t="s">
        <v>131</v>
      </c>
      <c r="D9" s="31">
        <v>23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2:19"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2:19"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2:19">
      <c r="B12" s="5" t="s">
        <v>122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2:19"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2:19">
      <c r="B14" t="s">
        <v>141</v>
      </c>
      <c r="D14" t="s">
        <v>123</v>
      </c>
      <c r="E14" s="16">
        <f xml:space="preserve"> Gravity!E52</f>
        <v>1.067877840909091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2:19">
      <c r="B15" t="s">
        <v>137</v>
      </c>
      <c r="D15" t="s">
        <v>124</v>
      </c>
      <c r="E15" s="16">
        <f xml:space="preserve"> Gravity!H55</f>
        <v>1.0169694602272727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19">
      <c r="B16" t="s">
        <v>138</v>
      </c>
      <c r="D16" t="s">
        <v>125</v>
      </c>
      <c r="E16" s="17">
        <f xml:space="preserve"> IBU!N30</f>
        <v>17.885480229110382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2:19">
      <c r="B17" t="s">
        <v>139</v>
      </c>
      <c r="D17" t="s">
        <v>33</v>
      </c>
      <c r="E17" s="17">
        <f xml:space="preserve"> ROUND(SRM!L39,0)</f>
        <v>14</v>
      </c>
      <c r="G17">
        <f xml:space="preserve">  VLOOKUP(E17, Table2[],1,TRUE)</f>
        <v>14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19">
      <c r="B18" t="s">
        <v>140</v>
      </c>
      <c r="D18" t="s">
        <v>110</v>
      </c>
      <c r="E18" s="32">
        <f xml:space="preserve"> Gravity!E58</f>
        <v>6.5</v>
      </c>
      <c r="F18" t="s">
        <v>105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19">
      <c r="B19" t="s">
        <v>164</v>
      </c>
      <c r="E19" s="17">
        <f xml:space="preserve"> Sheet1!J39</f>
        <v>219.49602183413032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2:19"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2:19">
      <c r="B21" t="s">
        <v>36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2:19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2:19">
      <c r="B23" s="28" t="s">
        <v>196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2:19">
      <c r="B24" s="28" t="s">
        <v>197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2:19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2:19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2:19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2:19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2:19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2:19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2:19">
      <c r="B31" s="28"/>
      <c r="C31" s="28"/>
      <c r="D31" s="28"/>
      <c r="E31" s="28"/>
      <c r="F31" s="28"/>
      <c r="G31" s="6" t="s">
        <v>135</v>
      </c>
      <c r="H31" s="28"/>
      <c r="I31" s="28"/>
      <c r="J31" s="28"/>
      <c r="K31" s="28"/>
      <c r="L31" s="28"/>
      <c r="M31" s="28"/>
      <c r="N31" s="28"/>
      <c r="O31" s="28"/>
      <c r="P31" s="28"/>
    </row>
    <row r="32" spans="2:19">
      <c r="D32">
        <f xml:space="preserve"> Gravity!C8</f>
        <v>5.5</v>
      </c>
      <c r="E32" t="s">
        <v>147</v>
      </c>
    </row>
    <row r="33" spans="2:14">
      <c r="D33" s="6"/>
      <c r="J33" t="s">
        <v>136</v>
      </c>
      <c r="K33" s="25" t="s">
        <v>199</v>
      </c>
    </row>
    <row r="34" spans="2:14">
      <c r="B34" s="5" t="s">
        <v>142</v>
      </c>
      <c r="F34" s="5" t="s">
        <v>143</v>
      </c>
      <c r="I34" s="5" t="s">
        <v>144</v>
      </c>
    </row>
    <row r="35" spans="2:14">
      <c r="B35" t="s">
        <v>133</v>
      </c>
      <c r="C35" t="s">
        <v>132</v>
      </c>
      <c r="F35" t="s">
        <v>133</v>
      </c>
      <c r="G35" t="s">
        <v>132</v>
      </c>
      <c r="I35" t="s">
        <v>134</v>
      </c>
      <c r="K35" t="s">
        <v>145</v>
      </c>
      <c r="L35" t="s">
        <v>146</v>
      </c>
    </row>
    <row r="37" spans="2:14">
      <c r="B37">
        <f xml:space="preserve"> IF(Gravity!E13=0," ",Gravity!E13)</f>
        <v>9.5</v>
      </c>
      <c r="C37" t="str">
        <f xml:space="preserve"> IF(Gravity!A13=0," ",Gravity!A13)</f>
        <v>Golden Promise Malt</v>
      </c>
      <c r="F37">
        <f xml:space="preserve"> IF(Gravity!E42=0," ",Gravity!E42)</f>
        <v>2</v>
      </c>
      <c r="G37" t="str">
        <f xml:space="preserve"> IF(Gravity!A42=0," ",Gravity!A42)</f>
        <v>Honey</v>
      </c>
      <c r="I37" t="str">
        <f xml:space="preserve"> IF(IBU!B9=0," ",IBU!B9)</f>
        <v>Fuggle</v>
      </c>
      <c r="K37">
        <f xml:space="preserve"> IF(IBU!F9=0," ",IBU!F9)</f>
        <v>1</v>
      </c>
      <c r="L37">
        <f xml:space="preserve"> IF(IBU!H9=0," ",IBU!H9)</f>
        <v>60</v>
      </c>
    </row>
    <row r="39" spans="2:14">
      <c r="B39">
        <f xml:space="preserve"> IF(Gravity!E15=0," ",Gravity!E15)</f>
        <v>0.375</v>
      </c>
      <c r="C39" t="str">
        <f xml:space="preserve"> IF(Gravity!A15=0," ",Gravity!A15)</f>
        <v>Crystal 60</v>
      </c>
      <c r="F39" t="str">
        <f xml:space="preserve"> IF(Gravity!E44=0," ",Gravity!E44)</f>
        <v xml:space="preserve"> </v>
      </c>
      <c r="G39" t="str">
        <f xml:space="preserve"> IF(Gravity!A44=0," ",Gravity!A44)</f>
        <v xml:space="preserve"> </v>
      </c>
      <c r="I39" t="str">
        <f xml:space="preserve"> IF(IBU!B11=0," ",IBU!B11)</f>
        <v xml:space="preserve"> </v>
      </c>
      <c r="K39" t="str">
        <f xml:space="preserve"> IF(IBU!F11=0," ",IBU!F11)</f>
        <v xml:space="preserve"> </v>
      </c>
      <c r="L39" t="str">
        <f xml:space="preserve"> IF(IBU!H11=0," ",IBU!H11)</f>
        <v xml:space="preserve"> </v>
      </c>
    </row>
    <row r="41" spans="2:14">
      <c r="B41">
        <f xml:space="preserve"> IF(Gravity!E17=0," ",Gravity!E17)</f>
        <v>0.1875</v>
      </c>
      <c r="C41" t="str">
        <f xml:space="preserve"> IF(Gravity!A17=0," ",Gravity!A17)</f>
        <v>Roasted Barley</v>
      </c>
      <c r="F41" t="str">
        <f xml:space="preserve"> IF(Gravity!E46=0," ",Gravity!E46)</f>
        <v xml:space="preserve"> </v>
      </c>
      <c r="G41" t="str">
        <f xml:space="preserve"> IF(Gravity!A46=0," ",Gravity!A46)</f>
        <v xml:space="preserve"> </v>
      </c>
      <c r="I41" t="str">
        <f xml:space="preserve"> IF(IBU!B13=0," ",IBU!B13)</f>
        <v xml:space="preserve"> </v>
      </c>
      <c r="K41" t="str">
        <f xml:space="preserve"> IF(IBU!F13=0," ",IBU!F13)</f>
        <v xml:space="preserve"> </v>
      </c>
      <c r="L41" t="str">
        <f xml:space="preserve"> IF(IBU!H13=0," ",IBU!H13)</f>
        <v xml:space="preserve"> </v>
      </c>
    </row>
    <row r="42" spans="2:14">
      <c r="N42" s="2"/>
    </row>
    <row r="43" spans="2:14">
      <c r="B43">
        <f xml:space="preserve"> IF(Gravity!E19=0," ",Gravity!E19)</f>
        <v>1</v>
      </c>
      <c r="C43" t="str">
        <f xml:space="preserve"> IF(Gravity!A19=0," ",Gravity!A19)</f>
        <v>Victory Malt</v>
      </c>
      <c r="I43" t="str">
        <f xml:space="preserve"> IF(IBU!B15=0," ",IBU!B15)</f>
        <v xml:space="preserve"> </v>
      </c>
      <c r="K43" t="str">
        <f xml:space="preserve"> IF(IBU!F15=0," ",IBU!F15)</f>
        <v xml:space="preserve"> </v>
      </c>
      <c r="L43" t="str">
        <f xml:space="preserve"> IF(IBU!H15=0," ",IBU!H15)</f>
        <v xml:space="preserve"> </v>
      </c>
    </row>
    <row r="44" spans="2:14">
      <c r="N44" s="36"/>
    </row>
    <row r="45" spans="2:14">
      <c r="B45" t="str">
        <f xml:space="preserve"> IF(Gravity!E21=0," ",Gravity!E21)</f>
        <v xml:space="preserve"> </v>
      </c>
      <c r="C45" t="str">
        <f xml:space="preserve"> IF(Gravity!A21=0," ",Gravity!A21)</f>
        <v xml:space="preserve"> </v>
      </c>
      <c r="I45" t="str">
        <f xml:space="preserve"> IF(IBU!B17=0," ",IBU!B17)</f>
        <v xml:space="preserve"> </v>
      </c>
      <c r="K45" t="str">
        <f xml:space="preserve"> IF(IBU!F17=0," ",IBU!F17)</f>
        <v xml:space="preserve"> </v>
      </c>
      <c r="L45" t="str">
        <f xml:space="preserve"> IF(IBU!H17=0," ",IBU!H17)</f>
        <v xml:space="preserve"> </v>
      </c>
      <c r="N45" s="36"/>
    </row>
    <row r="47" spans="2:14">
      <c r="B47" t="str">
        <f xml:space="preserve"> IF(Gravity!E23=0," ",Gravity!E23)</f>
        <v xml:space="preserve"> </v>
      </c>
      <c r="C47" t="str">
        <f xml:space="preserve"> IF(Gravity!A23=0," ",Gravity!A23)</f>
        <v xml:space="preserve"> </v>
      </c>
      <c r="I47" t="str">
        <f xml:space="preserve"> IF(IBU!B19=0," ",IBU!B19)</f>
        <v xml:space="preserve"> </v>
      </c>
      <c r="K47" t="str">
        <f xml:space="preserve"> IF(IBU!F19=0," ",IBU!F19)</f>
        <v xml:space="preserve"> </v>
      </c>
      <c r="L47" t="str">
        <f xml:space="preserve"> IF(IBU!H19=0," ",IBU!H19)</f>
        <v xml:space="preserve"> </v>
      </c>
    </row>
    <row r="49" spans="2:12">
      <c r="B49" t="str">
        <f xml:space="preserve"> IF(Gravity!E25=0," ",Gravity!E25)</f>
        <v xml:space="preserve"> </v>
      </c>
      <c r="C49" t="str">
        <f xml:space="preserve"> IF(Gravity!A25=0," ",Gravity!A25)</f>
        <v xml:space="preserve"> </v>
      </c>
      <c r="I49" t="str">
        <f xml:space="preserve"> IF(IBU!B21=0," ",IBU!B21)</f>
        <v xml:space="preserve"> </v>
      </c>
      <c r="K49" t="str">
        <f xml:space="preserve"> IF(IBU!F21=0," ",IBU!F21)</f>
        <v xml:space="preserve"> </v>
      </c>
      <c r="L49" t="str">
        <f xml:space="preserve"> IF(IBU!H21=0," ",IBU!H21)</f>
        <v xml:space="preserve"> </v>
      </c>
    </row>
    <row r="51" spans="2:12">
      <c r="B51" t="str">
        <f xml:space="preserve"> IF(Gravity!E27=0," ",Gravity!E27)</f>
        <v xml:space="preserve"> </v>
      </c>
      <c r="C51" t="str">
        <f xml:space="preserve"> IF(Gravity!A27=0," ",Gravity!A27)</f>
        <v xml:space="preserve"> </v>
      </c>
      <c r="I51" t="str">
        <f xml:space="preserve"> IF(IBU!B23=0," ",IBU!B23)</f>
        <v xml:space="preserve"> </v>
      </c>
      <c r="K51" t="str">
        <f xml:space="preserve"> IF(IBU!F23=0," ",IBU!F23)</f>
        <v xml:space="preserve"> </v>
      </c>
      <c r="L51" t="str">
        <f xml:space="preserve"> IF(IBU!H23=0," ",IBU!H23)</f>
        <v xml:space="preserve"> </v>
      </c>
    </row>
    <row r="53" spans="2:12">
      <c r="B53" t="str">
        <f xml:space="preserve"> IF(Gravity!E29=0," ",Gravity!E29)</f>
        <v xml:space="preserve"> </v>
      </c>
      <c r="C53" t="str">
        <f xml:space="preserve"> IF(Gravity!A29=0," ",Gravity!A29)</f>
        <v xml:space="preserve"> </v>
      </c>
      <c r="I53" t="str">
        <f xml:space="preserve"> IF(IBU!B25=0," ",IBU!B25)</f>
        <v xml:space="preserve"> </v>
      </c>
      <c r="K53" t="str">
        <f xml:space="preserve"> IF(IBU!F25=0," ",IBU!F25)</f>
        <v xml:space="preserve"> </v>
      </c>
      <c r="L53" t="str">
        <f xml:space="preserve"> IF(IBU!H25=0," ",IBU!H25)</f>
        <v xml:space="preserve"> </v>
      </c>
    </row>
    <row r="57" spans="2:12">
      <c r="B57" s="6" t="s">
        <v>23</v>
      </c>
    </row>
    <row r="59" spans="2:12">
      <c r="B59" t="s">
        <v>24</v>
      </c>
      <c r="D59" s="1"/>
    </row>
    <row r="61" spans="2:12">
      <c r="B61" t="s">
        <v>25</v>
      </c>
      <c r="E61" s="10"/>
    </row>
    <row r="63" spans="2:12">
      <c r="B63" t="s">
        <v>82</v>
      </c>
      <c r="D63" s="7"/>
    </row>
    <row r="65" spans="2:4">
      <c r="B65" t="s">
        <v>26</v>
      </c>
      <c r="D65" s="4"/>
    </row>
  </sheetData>
  <sheetProtection password="C7C2" sheet="1" objects="1" scenarios="1"/>
  <mergeCells count="1">
    <mergeCell ref="N44:N45"/>
  </mergeCells>
  <conditionalFormatting sqref="G17">
    <cfRule type="expression" dxfId="41" priority="1">
      <formula>$G$17&gt;40</formula>
    </cfRule>
    <cfRule type="expression" dxfId="40" priority="3">
      <formula>$G$17=40</formula>
    </cfRule>
    <cfRule type="expression" dxfId="39" priority="4">
      <formula>$G$17=39</formula>
    </cfRule>
    <cfRule type="expression" dxfId="38" priority="5">
      <formula>$G$17=38</formula>
    </cfRule>
    <cfRule type="expression" dxfId="37" priority="6">
      <formula>$G$17=37</formula>
    </cfRule>
    <cfRule type="expression" dxfId="36" priority="7">
      <formula>$G$17=36</formula>
    </cfRule>
    <cfRule type="expression" dxfId="35" priority="8">
      <formula>$G$17=35</formula>
    </cfRule>
    <cfRule type="expression" dxfId="34" priority="9">
      <formula>$G$17=34</formula>
    </cfRule>
    <cfRule type="expression" dxfId="33" priority="10">
      <formula>$G$17=33</formula>
    </cfRule>
    <cfRule type="expression" dxfId="32" priority="11">
      <formula>$G$17=32</formula>
    </cfRule>
    <cfRule type="expression" dxfId="31" priority="12">
      <formula>$G$17=31</formula>
    </cfRule>
    <cfRule type="expression" dxfId="30" priority="13">
      <formula>$G$17=30</formula>
    </cfRule>
    <cfRule type="expression" dxfId="29" priority="14">
      <formula>$G$17=29</formula>
    </cfRule>
    <cfRule type="expression" dxfId="28" priority="15">
      <formula>$G$17=28</formula>
    </cfRule>
    <cfRule type="expression" dxfId="27" priority="16">
      <formula>$G$17=27</formula>
    </cfRule>
    <cfRule type="expression" dxfId="26" priority="17">
      <formula>$G$17=26</formula>
    </cfRule>
    <cfRule type="expression" dxfId="25" priority="18">
      <formula>$G$17=25</formula>
    </cfRule>
    <cfRule type="expression" dxfId="24" priority="19">
      <formula>$G$17=24</formula>
    </cfRule>
    <cfRule type="expression" dxfId="23" priority="20">
      <formula>$G$17=23</formula>
    </cfRule>
    <cfRule type="expression" dxfId="22" priority="21">
      <formula>$G$17=22</formula>
    </cfRule>
    <cfRule type="expression" dxfId="21" priority="22">
      <formula>$G$17=21</formula>
    </cfRule>
    <cfRule type="expression" dxfId="20" priority="23">
      <formula>$G$17=20</formula>
    </cfRule>
    <cfRule type="expression" dxfId="19" priority="24">
      <formula>$G$17=19</formula>
    </cfRule>
    <cfRule type="expression" dxfId="18" priority="25">
      <formula>$G$17=18</formula>
    </cfRule>
    <cfRule type="expression" dxfId="17" priority="26">
      <formula>$G$17=17</formula>
    </cfRule>
    <cfRule type="expression" dxfId="16" priority="27">
      <formula>$G$17=16</formula>
    </cfRule>
    <cfRule type="expression" dxfId="15" priority="28">
      <formula>$G$17=15</formula>
    </cfRule>
    <cfRule type="expression" dxfId="14" priority="29">
      <formula>$G$17=14</formula>
    </cfRule>
    <cfRule type="expression" dxfId="13" priority="30">
      <formula>$G$17=13</formula>
    </cfRule>
    <cfRule type="expression" dxfId="12" priority="31">
      <formula>$G$17=12</formula>
    </cfRule>
    <cfRule type="expression" dxfId="11" priority="32">
      <formula>$G$18=11</formula>
    </cfRule>
    <cfRule type="expression" dxfId="10" priority="33">
      <formula>$G$17=10</formula>
    </cfRule>
    <cfRule type="expression" dxfId="9" priority="34">
      <formula>$G$17=9</formula>
    </cfRule>
    <cfRule type="expression" dxfId="8" priority="35">
      <formula>$G$17=8</formula>
    </cfRule>
    <cfRule type="expression" dxfId="7" priority="36">
      <formula>$G$17=7</formula>
    </cfRule>
    <cfRule type="expression" dxfId="6" priority="37">
      <formula>$G$17=6</formula>
    </cfRule>
    <cfRule type="expression" dxfId="5" priority="38">
      <formula>$G$17=4</formula>
    </cfRule>
    <cfRule type="expression" dxfId="4" priority="39">
      <formula>$G$17=5</formula>
    </cfRule>
    <cfRule type="expression" dxfId="3" priority="40">
      <formula>$G$17=17</formula>
    </cfRule>
    <cfRule type="expression" dxfId="2" priority="41">
      <formula>$G$17=3</formula>
    </cfRule>
    <cfRule type="expression" dxfId="1" priority="42">
      <formula>$G$17=2</formula>
    </cfRule>
    <cfRule type="expression" dxfId="0" priority="43">
      <formula>$G$17=1</formula>
    </cfRule>
  </conditionalFormatting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64"/>
  <sheetViews>
    <sheetView workbookViewId="0">
      <selection activeCell="C8" sqref="C8"/>
    </sheetView>
  </sheetViews>
  <sheetFormatPr defaultRowHeight="15"/>
  <cols>
    <col min="1" max="1" width="22.42578125" customWidth="1"/>
    <col min="2" max="2" width="5" customWidth="1"/>
    <col min="3" max="3" width="7.28515625" customWidth="1"/>
    <col min="4" max="4" width="8.7109375" customWidth="1"/>
  </cols>
  <sheetData>
    <row r="2" spans="1:11">
      <c r="C2" t="s">
        <v>34</v>
      </c>
      <c r="E2" s="5" t="str">
        <f xml:space="preserve"> Summary!D6</f>
        <v>Hadrian's Wall</v>
      </c>
      <c r="J2" t="s">
        <v>35</v>
      </c>
      <c r="K2" s="5" t="str">
        <f xml:space="preserve"> Summary!D8</f>
        <v>Heather, Honey Ale</v>
      </c>
    </row>
    <row r="5" spans="1:11">
      <c r="B5" t="s">
        <v>75</v>
      </c>
    </row>
    <row r="8" spans="1:11">
      <c r="A8" t="s">
        <v>8</v>
      </c>
      <c r="C8" s="25">
        <v>5.5</v>
      </c>
      <c r="E8" t="s">
        <v>9</v>
      </c>
      <c r="G8" s="25">
        <v>0.75</v>
      </c>
      <c r="I8" t="s">
        <v>10</v>
      </c>
      <c r="K8" s="34">
        <f xml:space="preserve"> Mash!B37</f>
        <v>7.0723984374999995</v>
      </c>
    </row>
    <row r="10" spans="1:11">
      <c r="C10" t="s">
        <v>77</v>
      </c>
    </row>
    <row r="11" spans="1:11">
      <c r="A11" t="s">
        <v>0</v>
      </c>
      <c r="B11" t="s">
        <v>118</v>
      </c>
      <c r="E11" t="s">
        <v>2</v>
      </c>
      <c r="G11" t="s">
        <v>1</v>
      </c>
      <c r="I11" t="s">
        <v>119</v>
      </c>
    </row>
    <row r="13" spans="1:11">
      <c r="A13" s="25" t="s">
        <v>189</v>
      </c>
      <c r="B13" s="28"/>
      <c r="C13" s="25">
        <v>38</v>
      </c>
      <c r="D13" s="28"/>
      <c r="E13" s="25">
        <v>9.5</v>
      </c>
      <c r="G13" s="3">
        <f xml:space="preserve"> C13*E13</f>
        <v>361</v>
      </c>
      <c r="I13" s="13">
        <f xml:space="preserve"> (E13/L29)*100</f>
        <v>85.875706214689259</v>
      </c>
    </row>
    <row r="14" spans="1:11">
      <c r="A14" s="28"/>
      <c r="B14" s="28"/>
      <c r="C14" s="28"/>
      <c r="D14" s="28"/>
      <c r="E14" s="28"/>
    </row>
    <row r="15" spans="1:11">
      <c r="A15" s="25" t="s">
        <v>190</v>
      </c>
      <c r="B15" s="28"/>
      <c r="C15" s="25">
        <v>34</v>
      </c>
      <c r="D15" s="28"/>
      <c r="E15" s="25">
        <v>0.375</v>
      </c>
      <c r="G15" s="3">
        <f xml:space="preserve"> C15*E15</f>
        <v>12.75</v>
      </c>
      <c r="I15" s="13">
        <f xml:space="preserve"> (E15/L29)*100</f>
        <v>3.3898305084745761</v>
      </c>
    </row>
    <row r="16" spans="1:11">
      <c r="A16" s="28"/>
      <c r="B16" s="28"/>
      <c r="C16" s="28"/>
      <c r="D16" s="28"/>
      <c r="E16" s="28"/>
    </row>
    <row r="17" spans="1:13">
      <c r="A17" s="25" t="s">
        <v>191</v>
      </c>
      <c r="B17" s="28"/>
      <c r="C17" s="25">
        <v>25</v>
      </c>
      <c r="D17" s="28"/>
      <c r="E17" s="25">
        <v>0.1875</v>
      </c>
      <c r="G17" s="3">
        <f xml:space="preserve"> C17*E17</f>
        <v>4.6875</v>
      </c>
      <c r="I17" s="13">
        <f xml:space="preserve"> (E17/L29)*100</f>
        <v>1.6949152542372881</v>
      </c>
    </row>
    <row r="18" spans="1:13">
      <c r="A18" s="28"/>
      <c r="B18" s="28"/>
      <c r="C18" s="28"/>
      <c r="D18" s="28"/>
      <c r="E18" s="28"/>
    </row>
    <row r="19" spans="1:13">
      <c r="A19" s="25" t="s">
        <v>194</v>
      </c>
      <c r="B19" s="28"/>
      <c r="C19" s="25">
        <v>34</v>
      </c>
      <c r="D19" s="28"/>
      <c r="E19" s="25">
        <v>1</v>
      </c>
      <c r="G19" s="3">
        <f xml:space="preserve"> C19*E19</f>
        <v>34</v>
      </c>
      <c r="I19" s="13">
        <f xml:space="preserve"> (E19/L29)*100</f>
        <v>9.0395480225988702</v>
      </c>
    </row>
    <row r="20" spans="1:13">
      <c r="A20" s="28"/>
      <c r="B20" s="28"/>
      <c r="C20" s="28"/>
      <c r="D20" s="28"/>
      <c r="E20" s="28"/>
    </row>
    <row r="21" spans="1:13">
      <c r="A21" s="25"/>
      <c r="B21" s="28"/>
      <c r="C21" s="25"/>
      <c r="D21" s="28"/>
      <c r="E21" s="25"/>
      <c r="G21" s="3">
        <f xml:space="preserve"> C21*E21</f>
        <v>0</v>
      </c>
      <c r="I21" s="13">
        <f xml:space="preserve"> (E21/L29)*100</f>
        <v>0</v>
      </c>
    </row>
    <row r="22" spans="1:13">
      <c r="A22" s="28"/>
      <c r="B22" s="28"/>
      <c r="C22" s="28"/>
      <c r="D22" s="28"/>
      <c r="E22" s="28"/>
    </row>
    <row r="23" spans="1:13">
      <c r="A23" s="25"/>
      <c r="B23" s="28"/>
      <c r="C23" s="25"/>
      <c r="D23" s="28"/>
      <c r="E23" s="25"/>
      <c r="G23" s="3">
        <f xml:space="preserve"> C23*E23</f>
        <v>0</v>
      </c>
      <c r="I23" s="13">
        <f xml:space="preserve"> (E23/L29)*100</f>
        <v>0</v>
      </c>
    </row>
    <row r="24" spans="1:13">
      <c r="A24" s="28"/>
      <c r="B24" s="28"/>
      <c r="C24" s="28"/>
      <c r="D24" s="28"/>
      <c r="E24" s="28"/>
    </row>
    <row r="25" spans="1:13">
      <c r="A25" s="25"/>
      <c r="B25" s="28"/>
      <c r="C25" s="25"/>
      <c r="D25" s="28"/>
      <c r="E25" s="25"/>
      <c r="G25" s="3">
        <f xml:space="preserve"> C25*E25</f>
        <v>0</v>
      </c>
      <c r="I25" s="13">
        <f xml:space="preserve"> (E25/L29)*100</f>
        <v>0</v>
      </c>
    </row>
    <row r="26" spans="1:13">
      <c r="A26" s="28"/>
      <c r="B26" s="28"/>
      <c r="C26" s="28"/>
      <c r="D26" s="28"/>
      <c r="E26" s="28"/>
    </row>
    <row r="27" spans="1:13">
      <c r="A27" s="25"/>
      <c r="B27" s="28"/>
      <c r="C27" s="25"/>
      <c r="D27" s="28"/>
      <c r="E27" s="25"/>
      <c r="G27" s="3">
        <f xml:space="preserve"> C27*E27</f>
        <v>0</v>
      </c>
      <c r="I27" s="13">
        <f xml:space="preserve"> (E27/L29)*100</f>
        <v>0</v>
      </c>
    </row>
    <row r="28" spans="1:13">
      <c r="A28" s="28"/>
      <c r="B28" s="28"/>
      <c r="C28" s="28"/>
      <c r="D28" s="28"/>
      <c r="E28" s="28"/>
    </row>
    <row r="29" spans="1:13">
      <c r="A29" s="25"/>
      <c r="B29" s="28"/>
      <c r="C29" s="25"/>
      <c r="D29" s="28"/>
      <c r="E29" s="25"/>
      <c r="G29" s="3">
        <f xml:space="preserve"> C29*E29</f>
        <v>0</v>
      </c>
      <c r="I29" s="13">
        <f xml:space="preserve"> (E29/L29)*100</f>
        <v>0</v>
      </c>
      <c r="J29" t="s">
        <v>117</v>
      </c>
      <c r="L29" s="4">
        <f xml:space="preserve"> E13+E15+E17+E19+E21+E23+E25+E27+E29</f>
        <v>11.0625</v>
      </c>
      <c r="M29" t="s">
        <v>116</v>
      </c>
    </row>
    <row r="30" spans="1:13">
      <c r="A30" s="28"/>
      <c r="B30" s="28"/>
      <c r="C30" s="28"/>
      <c r="D30" s="28"/>
      <c r="E30" s="28"/>
    </row>
    <row r="32" spans="1:13">
      <c r="F32" t="s">
        <v>3</v>
      </c>
      <c r="I32" s="3">
        <f xml:space="preserve"> G13+G15+G17+G19+G21+G23+G25+G27+G29</f>
        <v>412.4375</v>
      </c>
    </row>
    <row r="34" spans="1:13">
      <c r="F34" t="s">
        <v>78</v>
      </c>
      <c r="I34" s="8">
        <f>(((I32/K8)*G8)/1000)+1</f>
        <v>1.0437373725099888</v>
      </c>
      <c r="K34" t="s">
        <v>22</v>
      </c>
      <c r="M34" s="2"/>
    </row>
    <row r="36" spans="1:13">
      <c r="F36" t="s">
        <v>5</v>
      </c>
      <c r="I36" s="8">
        <f>(((I32/C8)*G8)/1000)+1</f>
        <v>1.0562414772727273</v>
      </c>
      <c r="K36" t="s">
        <v>72</v>
      </c>
      <c r="M36" s="2"/>
    </row>
    <row r="40" spans="1:13">
      <c r="A40" t="s">
        <v>6</v>
      </c>
      <c r="C40" t="s">
        <v>1</v>
      </c>
      <c r="E40" t="s">
        <v>2</v>
      </c>
    </row>
    <row r="42" spans="1:13">
      <c r="A42" s="25" t="s">
        <v>192</v>
      </c>
      <c r="B42" s="28"/>
      <c r="C42" s="25">
        <v>32</v>
      </c>
      <c r="D42" s="28"/>
      <c r="E42" s="25">
        <v>2</v>
      </c>
      <c r="F42" s="28"/>
      <c r="J42" s="6"/>
    </row>
    <row r="43" spans="1:13">
      <c r="A43" s="28"/>
      <c r="B43" s="28"/>
      <c r="C43" s="28"/>
      <c r="D43" s="28"/>
      <c r="E43" s="28"/>
      <c r="F43" s="28"/>
    </row>
    <row r="44" spans="1:13">
      <c r="A44" s="25"/>
      <c r="B44" s="28"/>
      <c r="C44" s="25">
        <v>32</v>
      </c>
      <c r="D44" s="28"/>
      <c r="E44" s="25">
        <v>0</v>
      </c>
      <c r="F44" s="28"/>
      <c r="L44" s="2"/>
    </row>
    <row r="45" spans="1:13">
      <c r="A45" s="28"/>
      <c r="B45" s="28"/>
      <c r="C45" s="28"/>
      <c r="D45" s="28"/>
      <c r="E45" s="28"/>
      <c r="F45" s="28"/>
    </row>
    <row r="46" spans="1:13">
      <c r="A46" s="25"/>
      <c r="B46" s="28"/>
      <c r="C46" s="25">
        <v>44</v>
      </c>
      <c r="D46" s="28"/>
      <c r="E46" s="25">
        <v>0</v>
      </c>
      <c r="F46" s="28"/>
      <c r="M46" s="18"/>
    </row>
    <row r="47" spans="1:13">
      <c r="A47" s="28"/>
      <c r="B47" s="28"/>
      <c r="C47" s="28"/>
      <c r="D47" s="28"/>
      <c r="E47" s="28"/>
      <c r="F47" s="28"/>
      <c r="G47" s="2"/>
    </row>
    <row r="48" spans="1:13">
      <c r="L48" s="2"/>
    </row>
    <row r="49" spans="1:12">
      <c r="A49" t="s">
        <v>120</v>
      </c>
      <c r="D49" s="3">
        <f>(C42*E42)+(C44*E44)+(C46*E46)</f>
        <v>64</v>
      </c>
      <c r="F49" t="s">
        <v>121</v>
      </c>
      <c r="H49" s="13">
        <f xml:space="preserve"> (D49/C8)/((D49/C8)+(I32*G8/C8))*100</f>
        <v>17.143096304356924</v>
      </c>
    </row>
    <row r="50" spans="1:12">
      <c r="L50" s="2"/>
    </row>
    <row r="52" spans="1:12">
      <c r="C52" t="s">
        <v>7</v>
      </c>
      <c r="E52" s="8">
        <f>((((I32*G8)+D49)/C8)/1000)+1</f>
        <v>1.067877840909091</v>
      </c>
      <c r="G52" t="s">
        <v>167</v>
      </c>
      <c r="H52" s="3">
        <f xml:space="preserve"> Sheet1!J32</f>
        <v>16.23771065718509</v>
      </c>
    </row>
    <row r="55" spans="1:12">
      <c r="A55" t="s">
        <v>115</v>
      </c>
      <c r="C55" s="25">
        <v>75</v>
      </c>
      <c r="D55" t="s">
        <v>105</v>
      </c>
      <c r="F55" t="s">
        <v>106</v>
      </c>
      <c r="H55" s="8">
        <f xml:space="preserve"> (Sheet1!P11/1000)+1</f>
        <v>1.0169694602272727</v>
      </c>
      <c r="J55" t="s">
        <v>167</v>
      </c>
      <c r="K55" s="3">
        <f xml:space="preserve"> Sheet1!J34</f>
        <v>3.9893270119547708</v>
      </c>
    </row>
    <row r="58" spans="1:12">
      <c r="C58" t="s">
        <v>104</v>
      </c>
      <c r="E58" s="4">
        <f xml:space="preserve"> Sheet1!K17</f>
        <v>6.5</v>
      </c>
      <c r="F58" t="s">
        <v>165</v>
      </c>
      <c r="H58" s="14">
        <f xml:space="preserve"> Sheet1!L27</f>
        <v>6.7877840909090992</v>
      </c>
      <c r="I58" t="s">
        <v>166</v>
      </c>
    </row>
    <row r="59" spans="1:12">
      <c r="J59" s="5"/>
    </row>
    <row r="61" spans="1:12">
      <c r="D61" t="s">
        <v>168</v>
      </c>
      <c r="F61" s="3">
        <f xml:space="preserve"> Sheet1!J36</f>
        <v>6.2038347750124121</v>
      </c>
      <c r="K61" s="16"/>
    </row>
    <row r="62" spans="1:12">
      <c r="K62" s="16"/>
    </row>
    <row r="63" spans="1:12">
      <c r="K63" s="17"/>
    </row>
    <row r="64" spans="1:12">
      <c r="K64" s="17"/>
    </row>
  </sheetData>
  <sheetProtection password="C7C2" sheet="1" objects="1" scenarios="1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J5" sqref="J5"/>
    </sheetView>
  </sheetViews>
  <sheetFormatPr defaultRowHeight="15"/>
  <cols>
    <col min="2" max="2" width="21.140625" customWidth="1"/>
    <col min="3" max="3" width="5.42578125" customWidth="1"/>
    <col min="5" max="5" width="5" customWidth="1"/>
    <col min="7" max="7" width="3.28515625" customWidth="1"/>
    <col min="9" max="9" width="6.140625" customWidth="1"/>
    <col min="11" max="11" width="7.7109375" customWidth="1"/>
    <col min="13" max="13" width="3.42578125" customWidth="1"/>
    <col min="15" max="15" width="5.7109375" customWidth="1"/>
    <col min="16" max="16" width="9" customWidth="1"/>
  </cols>
  <sheetData>
    <row r="1" spans="1:17">
      <c r="K1" t="str">
        <f xml:space="preserve"> Gravity!C2</f>
        <v xml:space="preserve">BEER NAME: </v>
      </c>
      <c r="M1" s="5" t="str">
        <f xml:space="preserve"> Gravity!E2</f>
        <v>Hadrian's Wall</v>
      </c>
      <c r="P1" s="5" t="str">
        <f xml:space="preserve"> Gravity!K2</f>
        <v>Heather, Honey Ale</v>
      </c>
    </row>
    <row r="2" spans="1:17">
      <c r="D2" s="6" t="s">
        <v>154</v>
      </c>
    </row>
    <row r="5" spans="1:17">
      <c r="D5" t="s">
        <v>4</v>
      </c>
      <c r="F5" s="3">
        <f xml:space="preserve"> Gravity!I34</f>
        <v>1.0437373725099888</v>
      </c>
      <c r="H5" t="s">
        <v>8</v>
      </c>
      <c r="I5" s="5"/>
      <c r="J5" s="3">
        <f xml:space="preserve"> Gravity!C8</f>
        <v>5.5</v>
      </c>
    </row>
    <row r="7" spans="1:17">
      <c r="A7" t="s">
        <v>148</v>
      </c>
      <c r="B7" t="s">
        <v>11</v>
      </c>
      <c r="D7" t="s">
        <v>12</v>
      </c>
      <c r="F7" t="s">
        <v>13</v>
      </c>
      <c r="H7" t="s">
        <v>14</v>
      </c>
      <c r="J7" t="s">
        <v>15</v>
      </c>
      <c r="L7" t="s">
        <v>81</v>
      </c>
      <c r="P7" t="s">
        <v>16</v>
      </c>
    </row>
    <row r="8" spans="1:17">
      <c r="L8" t="s">
        <v>18</v>
      </c>
      <c r="N8" t="s">
        <v>19</v>
      </c>
      <c r="P8" t="s">
        <v>149</v>
      </c>
      <c r="Q8" t="s">
        <v>150</v>
      </c>
    </row>
    <row r="9" spans="1:17">
      <c r="A9" s="25" t="s">
        <v>157</v>
      </c>
      <c r="B9" s="25" t="s">
        <v>193</v>
      </c>
      <c r="C9" s="28"/>
      <c r="D9" s="25">
        <v>4.3</v>
      </c>
      <c r="E9" s="28"/>
      <c r="F9" s="25">
        <v>1</v>
      </c>
      <c r="G9" s="28"/>
      <c r="H9" s="25">
        <v>60</v>
      </c>
      <c r="J9" s="3">
        <f xml:space="preserve"> D9*F9</f>
        <v>4.3</v>
      </c>
      <c r="L9" s="3">
        <f xml:space="preserve"> 1.65*0.000125^(F5-1)</f>
        <v>1.1137123703017788</v>
      </c>
      <c r="M9" s="2"/>
      <c r="N9" s="3">
        <f xml:space="preserve"> (1-EXP(-0.04*H9))/4.15</f>
        <v>0.21910410764110541</v>
      </c>
      <c r="P9" s="3">
        <f>((J9*((L9*N9))*1.25)*75)/J5</f>
        <v>17.885480229110382</v>
      </c>
      <c r="Q9" s="3">
        <f>(J9*((L9*N9))*75)/J5</f>
        <v>14.308384183288307</v>
      </c>
    </row>
    <row r="10" spans="1:17">
      <c r="A10" s="28"/>
      <c r="B10" s="28"/>
      <c r="C10" s="28"/>
      <c r="D10" s="28"/>
      <c r="E10" s="28"/>
      <c r="F10" s="28"/>
      <c r="G10" s="28"/>
      <c r="H10" s="28"/>
    </row>
    <row r="11" spans="1:17">
      <c r="A11" s="25" t="s">
        <v>157</v>
      </c>
      <c r="B11" s="25"/>
      <c r="C11" s="28"/>
      <c r="D11" s="25"/>
      <c r="E11" s="28"/>
      <c r="F11" s="25"/>
      <c r="G11" s="28"/>
      <c r="H11" s="25"/>
      <c r="J11" s="3">
        <f xml:space="preserve"> D11*F11</f>
        <v>0</v>
      </c>
      <c r="L11" s="3">
        <f xml:space="preserve"> 1.65*0.000125^(F5-1)</f>
        <v>1.1137123703017788</v>
      </c>
      <c r="M11" s="2"/>
      <c r="N11" s="3">
        <f xml:space="preserve"> (1-EXP(-0.04*H11))/4.15</f>
        <v>0</v>
      </c>
      <c r="P11" s="3">
        <f>((J11*((L11*N11))*1.25)*75)/J5</f>
        <v>0</v>
      </c>
      <c r="Q11" s="3">
        <f>(J11*((L11*N11))*75)/J5</f>
        <v>0</v>
      </c>
    </row>
    <row r="12" spans="1:17">
      <c r="A12" s="28"/>
      <c r="B12" s="28"/>
      <c r="C12" s="28"/>
      <c r="D12" s="28"/>
      <c r="E12" s="28"/>
      <c r="F12" s="28"/>
      <c r="G12" s="28"/>
      <c r="H12" s="28"/>
    </row>
    <row r="13" spans="1:17">
      <c r="A13" s="25" t="s">
        <v>157</v>
      </c>
      <c r="B13" s="25"/>
      <c r="C13" s="28"/>
      <c r="D13" s="25"/>
      <c r="E13" s="28"/>
      <c r="F13" s="25"/>
      <c r="G13" s="28"/>
      <c r="H13" s="25"/>
      <c r="J13" s="3">
        <f xml:space="preserve"> D13*F13</f>
        <v>0</v>
      </c>
      <c r="L13" s="3">
        <f xml:space="preserve"> 1.65*0.000125^(F5-1)</f>
        <v>1.1137123703017788</v>
      </c>
      <c r="M13" s="2"/>
      <c r="N13" s="3">
        <f xml:space="preserve"> (1-EXP(-0.04*H13))/4.15</f>
        <v>0</v>
      </c>
      <c r="P13" s="3">
        <f>((J13*((L13*N13))*1.25)*75)/J5</f>
        <v>0</v>
      </c>
      <c r="Q13" s="3">
        <f>(J13*((L13*N13))*75)/J9</f>
        <v>0</v>
      </c>
    </row>
    <row r="14" spans="1:17">
      <c r="A14" s="28"/>
      <c r="B14" s="28"/>
      <c r="C14" s="28"/>
      <c r="D14" s="28"/>
      <c r="E14" s="28"/>
      <c r="F14" s="28"/>
      <c r="G14" s="28"/>
      <c r="H14" s="28"/>
    </row>
    <row r="15" spans="1:17">
      <c r="A15" s="25" t="s">
        <v>157</v>
      </c>
      <c r="B15" s="25"/>
      <c r="C15" s="28"/>
      <c r="D15" s="25"/>
      <c r="E15" s="28"/>
      <c r="F15" s="25"/>
      <c r="G15" s="28"/>
      <c r="H15" s="25"/>
      <c r="J15" s="3">
        <f xml:space="preserve"> D15*F15</f>
        <v>0</v>
      </c>
      <c r="L15" s="3">
        <f xml:space="preserve"> 1.65*0.000125^(F5-1)</f>
        <v>1.1137123703017788</v>
      </c>
      <c r="M15" s="2"/>
      <c r="N15" s="3">
        <f xml:space="preserve"> (1-EXP(-0.04*H15))/4.15</f>
        <v>0</v>
      </c>
      <c r="P15" s="3">
        <f>((J15*((L15*N15))*1.25)*75)/J5</f>
        <v>0</v>
      </c>
      <c r="Q15" s="3">
        <f>(J15*((L15*N15))*75)/J5</f>
        <v>0</v>
      </c>
    </row>
    <row r="16" spans="1:17">
      <c r="A16" s="28"/>
      <c r="B16" s="28"/>
      <c r="C16" s="28"/>
      <c r="D16" s="28"/>
      <c r="E16" s="28"/>
      <c r="F16" s="28"/>
      <c r="G16" s="28"/>
      <c r="H16" s="28"/>
    </row>
    <row r="17" spans="1:17">
      <c r="A17" s="25"/>
      <c r="B17" s="25"/>
      <c r="C17" s="28"/>
      <c r="D17" s="25"/>
      <c r="E17" s="28"/>
      <c r="F17" s="25"/>
      <c r="G17" s="28"/>
      <c r="H17" s="25"/>
      <c r="J17" s="3">
        <f xml:space="preserve"> D17*F17</f>
        <v>0</v>
      </c>
      <c r="L17" s="3">
        <f xml:space="preserve"> 1.65*0.000125^(F5-1)</f>
        <v>1.1137123703017788</v>
      </c>
      <c r="N17" s="3">
        <f xml:space="preserve"> (1-EXP(-0.04*H17))/4.15</f>
        <v>0</v>
      </c>
      <c r="P17" s="3">
        <f>((J17*((L17*N17))*1.25)*75)/J5</f>
        <v>0</v>
      </c>
      <c r="Q17" s="3">
        <f>(J17*((L17*N17))*75)/J5</f>
        <v>0</v>
      </c>
    </row>
    <row r="18" spans="1:17">
      <c r="A18" s="28"/>
      <c r="B18" s="28"/>
      <c r="C18" s="28"/>
      <c r="D18" s="28"/>
      <c r="E18" s="28"/>
      <c r="F18" s="28"/>
      <c r="G18" s="28"/>
      <c r="H18" s="28"/>
    </row>
    <row r="19" spans="1:17">
      <c r="A19" s="25"/>
      <c r="B19" s="25"/>
      <c r="C19" s="28"/>
      <c r="D19" s="25"/>
      <c r="E19" s="28"/>
      <c r="F19" s="25"/>
      <c r="G19" s="28"/>
      <c r="H19" s="25"/>
      <c r="J19" s="3">
        <f xml:space="preserve"> D19*F19</f>
        <v>0</v>
      </c>
      <c r="L19" s="3">
        <f xml:space="preserve"> 1.65*0.000125^(F5-1)</f>
        <v>1.1137123703017788</v>
      </c>
      <c r="N19" s="3">
        <f xml:space="preserve"> (1-EXP(-0.04*H19))/4.15</f>
        <v>0</v>
      </c>
      <c r="P19" s="3">
        <f>((J19*((L19*N19))*1.25)*75)/J5</f>
        <v>0</v>
      </c>
      <c r="Q19" s="3">
        <f>(J19*((L19*N19))*75)/J5</f>
        <v>0</v>
      </c>
    </row>
    <row r="20" spans="1:17">
      <c r="A20" s="28"/>
      <c r="B20" s="28"/>
      <c r="C20" s="28"/>
      <c r="D20" s="28"/>
      <c r="E20" s="28"/>
      <c r="F20" s="28"/>
      <c r="G20" s="28"/>
      <c r="H20" s="28"/>
    </row>
    <row r="21" spans="1:17">
      <c r="A21" s="25"/>
      <c r="B21" s="25"/>
      <c r="C21" s="28"/>
      <c r="D21" s="25"/>
      <c r="E21" s="28"/>
      <c r="F21" s="25"/>
      <c r="G21" s="28"/>
      <c r="H21" s="25"/>
      <c r="J21" s="3">
        <f xml:space="preserve"> D21*F21</f>
        <v>0</v>
      </c>
      <c r="L21" s="3">
        <f xml:space="preserve"> 1.65*0.000125^(F5-1)</f>
        <v>1.1137123703017788</v>
      </c>
      <c r="N21" s="3">
        <f xml:space="preserve"> (1-EXP(-0.04*H21))/4.15</f>
        <v>0</v>
      </c>
      <c r="P21" s="3">
        <f>((J21*((L21*N21))*1.25)*75)/J5</f>
        <v>0</v>
      </c>
      <c r="Q21" s="3">
        <f>(J21*((L21*N21))*75)/J5</f>
        <v>0</v>
      </c>
    </row>
    <row r="22" spans="1:17">
      <c r="A22" s="28"/>
      <c r="B22" s="28"/>
      <c r="C22" s="28"/>
      <c r="D22" s="28"/>
      <c r="E22" s="28"/>
      <c r="F22" s="28"/>
      <c r="G22" s="28"/>
      <c r="H22" s="28"/>
    </row>
    <row r="23" spans="1:17">
      <c r="A23" s="25"/>
      <c r="B23" s="25"/>
      <c r="C23" s="28"/>
      <c r="D23" s="25"/>
      <c r="E23" s="28"/>
      <c r="F23" s="25"/>
      <c r="G23" s="28"/>
      <c r="H23" s="25"/>
      <c r="J23" s="3">
        <f xml:space="preserve"> D23*F23</f>
        <v>0</v>
      </c>
      <c r="L23" s="3">
        <f xml:space="preserve"> 1.65*0.000125^(F5-1)</f>
        <v>1.1137123703017788</v>
      </c>
      <c r="N23" s="3">
        <f xml:space="preserve"> (1-EXP(-0.04*H23))/4.15</f>
        <v>0</v>
      </c>
      <c r="P23" s="3">
        <f>((J23*((L23*N23))*1.25)*75)/J5</f>
        <v>0</v>
      </c>
      <c r="Q23" s="3">
        <f>(J23*((L23*N23))*75)/J5</f>
        <v>0</v>
      </c>
    </row>
    <row r="24" spans="1:17">
      <c r="A24" s="28"/>
      <c r="B24" s="28"/>
      <c r="C24" s="28"/>
      <c r="D24" s="28"/>
      <c r="E24" s="28"/>
      <c r="F24" s="28"/>
      <c r="G24" s="28"/>
      <c r="H24" s="28"/>
    </row>
    <row r="25" spans="1:17">
      <c r="A25" s="25"/>
      <c r="B25" s="25"/>
      <c r="C25" s="28"/>
      <c r="D25" s="25"/>
      <c r="E25" s="28"/>
      <c r="F25" s="25"/>
      <c r="G25" s="28"/>
      <c r="H25" s="25"/>
      <c r="J25" s="3">
        <f xml:space="preserve"> D25*F25</f>
        <v>0</v>
      </c>
      <c r="L25" s="3">
        <f xml:space="preserve"> 1.65*0.000125^(F5-1)</f>
        <v>1.1137123703017788</v>
      </c>
      <c r="N25" s="3">
        <f xml:space="preserve"> (1-EXP(-0.04*H25))/4.15</f>
        <v>0</v>
      </c>
      <c r="P25" s="3">
        <f>((J25*((L25*N25))*1.25)*75)/J5</f>
        <v>0</v>
      </c>
      <c r="Q25" s="3">
        <f>(J25*((L25*N25))*75)/J5</f>
        <v>0</v>
      </c>
    </row>
    <row r="26" spans="1:17">
      <c r="B26" s="28"/>
      <c r="C26" s="28"/>
      <c r="D26" s="28"/>
      <c r="E26" s="28"/>
      <c r="F26" s="28"/>
      <c r="G26" s="28"/>
      <c r="H26" s="28"/>
    </row>
    <row r="28" spans="1:17">
      <c r="L28" t="s">
        <v>151</v>
      </c>
      <c r="N28" s="13">
        <f>SUMIF(A9:A25,"P",P9:P25)</f>
        <v>17.885480229110382</v>
      </c>
      <c r="O28" t="s">
        <v>152</v>
      </c>
      <c r="P28" s="13">
        <f>SUMIF(A9:A25,"W",Q9:Q25)</f>
        <v>0</v>
      </c>
      <c r="Q28" t="s">
        <v>153</v>
      </c>
    </row>
    <row r="29" spans="1:17">
      <c r="C29" t="s">
        <v>20</v>
      </c>
    </row>
    <row r="30" spans="1:17">
      <c r="C30" t="s">
        <v>155</v>
      </c>
      <c r="L30" t="s">
        <v>17</v>
      </c>
      <c r="N30" s="14">
        <f xml:space="preserve"> N28+P28</f>
        <v>17.885480229110382</v>
      </c>
    </row>
    <row r="31" spans="1:17">
      <c r="C31" t="s">
        <v>156</v>
      </c>
    </row>
    <row r="33" spans="3:3">
      <c r="C33" t="s">
        <v>21</v>
      </c>
    </row>
  </sheetData>
  <sheetProtection password="C7C2" sheet="1" objects="1" scenarios="1"/>
  <pageMargins left="0.7" right="0.7" top="0.75" bottom="0.75" header="0.3" footer="0.3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N39"/>
  <sheetViews>
    <sheetView workbookViewId="0">
      <selection activeCell="D4" sqref="D4"/>
    </sheetView>
  </sheetViews>
  <sheetFormatPr defaultRowHeight="15"/>
  <cols>
    <col min="1" max="1" width="5" customWidth="1"/>
    <col min="2" max="2" width="16.7109375" customWidth="1"/>
    <col min="5" max="5" width="5.7109375" customWidth="1"/>
    <col min="11" max="11" width="5" customWidth="1"/>
    <col min="13" max="13" width="5.28515625" customWidth="1"/>
  </cols>
  <sheetData>
    <row r="2" spans="2:14">
      <c r="B2" s="6" t="s">
        <v>74</v>
      </c>
      <c r="G2" t="s">
        <v>114</v>
      </c>
      <c r="I2" s="5" t="str">
        <f xml:space="preserve"> Gravity!E2</f>
        <v>Hadrian's Wall</v>
      </c>
      <c r="L2" t="s">
        <v>35</v>
      </c>
      <c r="M2" s="5" t="str">
        <f xml:space="preserve"> Gravity!K2</f>
        <v>Heather, Honey Ale</v>
      </c>
      <c r="N2" s="12"/>
    </row>
    <row r="4" spans="2:14">
      <c r="B4" t="s">
        <v>76</v>
      </c>
      <c r="D4" s="3">
        <f xml:space="preserve"> Gravity!C8</f>
        <v>5.5</v>
      </c>
    </row>
    <row r="6" spans="2:14">
      <c r="B6" s="5" t="s">
        <v>0</v>
      </c>
      <c r="D6" s="5" t="s">
        <v>32</v>
      </c>
      <c r="F6" s="5" t="s">
        <v>2</v>
      </c>
      <c r="H6" s="5" t="s">
        <v>27</v>
      </c>
    </row>
    <row r="8" spans="2:14">
      <c r="B8" s="2" t="str">
        <f xml:space="preserve"> Gravity!A13</f>
        <v>Golden Promise Malt</v>
      </c>
      <c r="D8" s="25">
        <v>2.4</v>
      </c>
      <c r="F8" s="2">
        <f xml:space="preserve"> Gravity!E13</f>
        <v>9.5</v>
      </c>
      <c r="H8" s="3">
        <f>(D8*F8)/D4</f>
        <v>4.1454545454545455</v>
      </c>
    </row>
    <row r="9" spans="2:14">
      <c r="D9" s="28"/>
    </row>
    <row r="10" spans="2:14">
      <c r="B10" s="2" t="str">
        <f xml:space="preserve"> Gravity!A15</f>
        <v>Crystal 60</v>
      </c>
      <c r="D10" s="25">
        <v>60</v>
      </c>
      <c r="F10" s="2">
        <f xml:space="preserve"> Gravity!E15</f>
        <v>0.375</v>
      </c>
      <c r="H10" s="3">
        <f>(D10*F10)/D4</f>
        <v>4.0909090909090908</v>
      </c>
    </row>
    <row r="11" spans="2:14">
      <c r="D11" s="28"/>
    </row>
    <row r="12" spans="2:14">
      <c r="B12" s="2" t="str">
        <f xml:space="preserve"> Gravity!A17</f>
        <v>Roasted Barley</v>
      </c>
      <c r="D12" s="25">
        <v>300</v>
      </c>
      <c r="F12" s="2">
        <f xml:space="preserve"> Gravity!E17</f>
        <v>0.1875</v>
      </c>
      <c r="H12" s="3">
        <f>(D12*F12)/D4</f>
        <v>10.227272727272727</v>
      </c>
    </row>
    <row r="13" spans="2:14">
      <c r="D13" s="28"/>
    </row>
    <row r="14" spans="2:14">
      <c r="B14" s="2" t="str">
        <f xml:space="preserve"> Gravity!A19</f>
        <v>Victory Malt</v>
      </c>
      <c r="D14" s="25">
        <v>25</v>
      </c>
      <c r="F14" s="2">
        <f xml:space="preserve"> Gravity!E19</f>
        <v>1</v>
      </c>
      <c r="H14" s="3">
        <f>(D14*F14)/D4</f>
        <v>4.5454545454545459</v>
      </c>
    </row>
    <row r="15" spans="2:14">
      <c r="D15" s="28"/>
    </row>
    <row r="16" spans="2:14">
      <c r="B16" s="2">
        <f xml:space="preserve"> Gravity!A21</f>
        <v>0</v>
      </c>
      <c r="D16" s="25"/>
      <c r="F16" s="2">
        <f xml:space="preserve"> Gravity!E21</f>
        <v>0</v>
      </c>
      <c r="H16" s="3">
        <f>(D16*F16)/D4</f>
        <v>0</v>
      </c>
    </row>
    <row r="17" spans="2:8">
      <c r="D17" s="28"/>
      <c r="H17" s="2"/>
    </row>
    <row r="18" spans="2:8">
      <c r="B18" s="2">
        <f xml:space="preserve"> Gravity!A23</f>
        <v>0</v>
      </c>
      <c r="D18" s="25"/>
      <c r="F18" s="2">
        <f xml:space="preserve"> Gravity!E23</f>
        <v>0</v>
      </c>
      <c r="H18" s="3">
        <f>(D18*F18)/D4</f>
        <v>0</v>
      </c>
    </row>
    <row r="19" spans="2:8">
      <c r="D19" s="28"/>
    </row>
    <row r="20" spans="2:8">
      <c r="B20" s="2">
        <f xml:space="preserve"> Gravity!A25</f>
        <v>0</v>
      </c>
      <c r="D20" s="25"/>
      <c r="F20" s="2">
        <f xml:space="preserve"> Gravity!E25</f>
        <v>0</v>
      </c>
      <c r="H20" s="3">
        <f>(D20*F20)/D4</f>
        <v>0</v>
      </c>
    </row>
    <row r="21" spans="2:8">
      <c r="D21" s="28"/>
    </row>
    <row r="22" spans="2:8">
      <c r="B22" s="2">
        <f xml:space="preserve"> Gravity!A27</f>
        <v>0</v>
      </c>
      <c r="D22" s="25"/>
      <c r="F22" s="2">
        <f xml:space="preserve"> Gravity!E27</f>
        <v>0</v>
      </c>
      <c r="H22" s="3">
        <f>(D22*F22)/D4</f>
        <v>0</v>
      </c>
    </row>
    <row r="23" spans="2:8">
      <c r="D23" s="28"/>
    </row>
    <row r="24" spans="2:8">
      <c r="B24" s="2">
        <f xml:space="preserve"> Gravity!A29</f>
        <v>0</v>
      </c>
      <c r="D24" s="25"/>
      <c r="F24" s="2">
        <f xml:space="preserve"> Gravity!E29</f>
        <v>0</v>
      </c>
      <c r="H24" s="3">
        <f>(D24*F24)/D4</f>
        <v>0</v>
      </c>
    </row>
    <row r="25" spans="2:8">
      <c r="D25" s="28"/>
    </row>
    <row r="26" spans="2:8">
      <c r="B26" t="str">
        <f xml:space="preserve"> Gravity!A42</f>
        <v>Honey</v>
      </c>
      <c r="D26" s="25">
        <v>5</v>
      </c>
      <c r="F26">
        <f xml:space="preserve"> Gravity!E42</f>
        <v>2</v>
      </c>
      <c r="H26" s="3">
        <f>(D26*F26)/D4</f>
        <v>1.8181818181818181</v>
      </c>
    </row>
    <row r="27" spans="2:8">
      <c r="D27" s="28"/>
    </row>
    <row r="28" spans="2:8">
      <c r="B28">
        <f xml:space="preserve"> Gravity!A44</f>
        <v>0</v>
      </c>
      <c r="D28" s="25"/>
      <c r="F28">
        <f xml:space="preserve"> Gravity!E44</f>
        <v>0</v>
      </c>
      <c r="H28" s="3">
        <f>(D28*F28)/D4</f>
        <v>0</v>
      </c>
    </row>
    <row r="29" spans="2:8">
      <c r="D29" s="28"/>
    </row>
    <row r="30" spans="2:8">
      <c r="B30">
        <f xml:space="preserve"> Gravity!A46</f>
        <v>0</v>
      </c>
      <c r="D30" s="25"/>
      <c r="F30">
        <f xml:space="preserve"> Gravity!E46</f>
        <v>0</v>
      </c>
      <c r="H30" s="3">
        <f>(D30*F30)/D4</f>
        <v>0</v>
      </c>
    </row>
    <row r="31" spans="2:8">
      <c r="D31" s="28"/>
    </row>
    <row r="32" spans="2:8">
      <c r="D32" s="28"/>
    </row>
    <row r="33" spans="4:14">
      <c r="D33" s="28"/>
      <c r="G33" t="s">
        <v>28</v>
      </c>
      <c r="I33" s="14">
        <f xml:space="preserve"> H8+H10+H12+H14+H16+H18+H20+H22+H24+H26+H28+H30</f>
        <v>24.827272727272724</v>
      </c>
      <c r="J33" t="s">
        <v>29</v>
      </c>
    </row>
    <row r="34" spans="4:14">
      <c r="D34" s="28"/>
    </row>
    <row r="35" spans="4:14">
      <c r="D35" s="28"/>
      <c r="I35" t="s">
        <v>33</v>
      </c>
      <c r="J35" t="s">
        <v>30</v>
      </c>
      <c r="L35" s="15">
        <f xml:space="preserve"> I33*0.46</f>
        <v>11.420545454545454</v>
      </c>
      <c r="N35" t="s">
        <v>70</v>
      </c>
    </row>
    <row r="36" spans="4:14">
      <c r="D36" s="28"/>
      <c r="N36" s="2"/>
    </row>
    <row r="37" spans="4:14">
      <c r="J37" t="s">
        <v>31</v>
      </c>
      <c r="L37" s="15">
        <f xml:space="preserve"> (I33*0.2)+8.4</f>
        <v>13.365454545454545</v>
      </c>
      <c r="N37" t="s">
        <v>71</v>
      </c>
    </row>
    <row r="39" spans="4:14">
      <c r="J39" t="s">
        <v>126</v>
      </c>
      <c r="L39" s="15">
        <f>(POWER(I33,0.6859))*1.4922</f>
        <v>13.50855349696247</v>
      </c>
      <c r="M39" t="s">
        <v>79</v>
      </c>
    </row>
  </sheetData>
  <sheetProtection password="C7C2" sheet="1" objects="1" scenarios="1"/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5"/>
  <sheetViews>
    <sheetView workbookViewId="0">
      <selection activeCell="B123" sqref="B123"/>
    </sheetView>
  </sheetViews>
  <sheetFormatPr defaultRowHeight="15"/>
  <cols>
    <col min="1" max="1" width="32.42578125" customWidth="1"/>
  </cols>
  <sheetData>
    <row r="1" spans="1:16">
      <c r="E1" t="str">
        <f xml:space="preserve"> Gravity!C2</f>
        <v xml:space="preserve">BEER NAME: </v>
      </c>
      <c r="G1" s="5" t="str">
        <f xml:space="preserve"> Gravity!E2</f>
        <v>Hadrian's Wall</v>
      </c>
      <c r="J1" s="5" t="str">
        <f xml:space="preserve"> Gravity!K2</f>
        <v>Heather, Honey Ale</v>
      </c>
    </row>
    <row r="2" spans="1:16">
      <c r="A2" s="6" t="s">
        <v>37</v>
      </c>
    </row>
    <row r="3" spans="1:16">
      <c r="A3" t="s">
        <v>38</v>
      </c>
    </row>
    <row r="5" spans="1:16">
      <c r="A5" t="s">
        <v>39</v>
      </c>
      <c r="B5" s="25">
        <v>155</v>
      </c>
    </row>
    <row r="6" spans="1:16">
      <c r="B6" s="26"/>
    </row>
    <row r="7" spans="1:16">
      <c r="A7" t="s">
        <v>40</v>
      </c>
      <c r="B7" s="25">
        <v>70</v>
      </c>
    </row>
    <row r="8" spans="1:16">
      <c r="B8" s="2"/>
    </row>
    <row r="9" spans="1:16">
      <c r="A9" t="s">
        <v>41</v>
      </c>
      <c r="B9" s="3">
        <f xml:space="preserve"> Gravity!L29</f>
        <v>11.0625</v>
      </c>
      <c r="I9" t="s">
        <v>80</v>
      </c>
    </row>
    <row r="10" spans="1:16">
      <c r="B10" s="2"/>
      <c r="H10" s="28"/>
      <c r="I10" s="28"/>
      <c r="J10" s="28"/>
      <c r="K10" s="28"/>
      <c r="L10" s="28"/>
      <c r="M10" s="28"/>
      <c r="N10" s="28"/>
      <c r="O10" s="28"/>
      <c r="P10" s="28"/>
    </row>
    <row r="11" spans="1:16">
      <c r="A11" t="s">
        <v>42</v>
      </c>
      <c r="B11" s="25">
        <v>1.2655000000000001</v>
      </c>
      <c r="H11" s="28"/>
      <c r="I11" s="28" t="s">
        <v>198</v>
      </c>
      <c r="J11" s="28"/>
      <c r="K11" s="28"/>
      <c r="L11" s="28"/>
      <c r="M11" s="28"/>
      <c r="N11" s="28"/>
      <c r="O11" s="28"/>
      <c r="P11" s="28"/>
    </row>
    <row r="12" spans="1:16">
      <c r="A12" t="s">
        <v>43</v>
      </c>
      <c r="B12">
        <f xml:space="preserve"> B11*B9</f>
        <v>13.999593750000001</v>
      </c>
      <c r="D12" t="s">
        <v>62</v>
      </c>
      <c r="F12" s="3">
        <f xml:space="preserve"> (B9*0.08)+(B12/4)</f>
        <v>4.3848984375000004</v>
      </c>
      <c r="G12" t="s">
        <v>52</v>
      </c>
      <c r="H12" s="28"/>
      <c r="I12" s="28" t="s">
        <v>195</v>
      </c>
      <c r="J12" s="28"/>
      <c r="K12" s="28"/>
      <c r="L12" s="28"/>
      <c r="M12" s="28"/>
      <c r="N12" s="28"/>
      <c r="O12" s="28"/>
      <c r="P12" s="28"/>
    </row>
    <row r="13" spans="1:16">
      <c r="H13" s="28"/>
      <c r="I13" s="28"/>
      <c r="J13" s="28"/>
      <c r="K13" s="28"/>
      <c r="L13" s="28"/>
      <c r="M13" s="28"/>
      <c r="N13" s="28"/>
      <c r="O13" s="28"/>
      <c r="P13" s="28"/>
    </row>
    <row r="14" spans="1:16">
      <c r="A14" t="s">
        <v>44</v>
      </c>
      <c r="B14" s="27">
        <v>0.2</v>
      </c>
      <c r="H14" s="28"/>
      <c r="I14" s="28"/>
      <c r="J14" s="28"/>
      <c r="K14" s="28"/>
      <c r="L14" s="28"/>
      <c r="M14" s="28"/>
      <c r="N14" s="28"/>
      <c r="O14" s="28"/>
      <c r="P14" s="28"/>
    </row>
    <row r="15" spans="1:16">
      <c r="A15" t="s">
        <v>45</v>
      </c>
      <c r="H15" s="28"/>
      <c r="I15" s="28"/>
      <c r="J15" s="28"/>
      <c r="K15" s="28"/>
      <c r="L15" s="28"/>
      <c r="M15" s="28"/>
      <c r="N15" s="28"/>
      <c r="O15" s="28"/>
      <c r="P15" s="28"/>
    </row>
    <row r="16" spans="1:16">
      <c r="H16" s="28"/>
      <c r="I16" s="28"/>
      <c r="J16" s="28"/>
      <c r="K16" s="28"/>
      <c r="L16" s="28"/>
      <c r="M16" s="28"/>
      <c r="N16" s="28"/>
      <c r="O16" s="28"/>
      <c r="P16" s="28"/>
    </row>
    <row r="17" spans="1:16">
      <c r="A17" t="s">
        <v>46</v>
      </c>
      <c r="B17" s="3">
        <f>(B5-B7)*((((4*B14)/B9)+0.19)*B9/B12)+B5</f>
        <v>172.6190380524435</v>
      </c>
      <c r="H17" s="28"/>
      <c r="I17" s="28"/>
      <c r="J17" s="28"/>
      <c r="K17" s="28"/>
      <c r="L17" s="28"/>
      <c r="M17" s="28"/>
      <c r="N17" s="28"/>
      <c r="O17" s="28"/>
      <c r="P17" s="28"/>
    </row>
    <row r="18" spans="1:16">
      <c r="H18" s="28"/>
      <c r="I18" s="28"/>
      <c r="J18" s="28"/>
      <c r="K18" s="28"/>
      <c r="L18" s="28"/>
      <c r="M18" s="28"/>
      <c r="N18" s="28"/>
      <c r="O18" s="28"/>
      <c r="P18" s="28"/>
    </row>
    <row r="19" spans="1:16">
      <c r="B19" t="s">
        <v>47</v>
      </c>
      <c r="C19" s="8">
        <f>B12/4</f>
        <v>3.4998984375000002</v>
      </c>
      <c r="D19" t="s">
        <v>48</v>
      </c>
      <c r="E19" s="9">
        <f>B17</f>
        <v>172.6190380524435</v>
      </c>
      <c r="F19" t="s">
        <v>49</v>
      </c>
      <c r="H19" s="28"/>
      <c r="I19" s="28"/>
      <c r="J19" s="28"/>
      <c r="K19" s="28"/>
      <c r="L19" s="28"/>
      <c r="M19" s="28"/>
      <c r="N19" s="28"/>
      <c r="O19" s="28"/>
      <c r="P19" s="28"/>
    </row>
    <row r="20" spans="1:16">
      <c r="H20" s="28"/>
      <c r="I20" s="28"/>
      <c r="J20" s="28"/>
      <c r="K20" s="28"/>
      <c r="L20" s="28"/>
      <c r="M20" s="28"/>
      <c r="N20" s="28"/>
      <c r="O20" s="28"/>
      <c r="P20" s="28"/>
    </row>
    <row r="21" spans="1:16">
      <c r="H21" s="28"/>
      <c r="I21" s="28"/>
      <c r="J21" s="28"/>
      <c r="K21" s="28"/>
      <c r="L21" s="28"/>
      <c r="M21" s="28"/>
      <c r="N21" s="28"/>
      <c r="O21" s="28"/>
      <c r="P21" s="28"/>
    </row>
    <row r="22" spans="1:16">
      <c r="K22" s="28"/>
      <c r="L22" s="28"/>
      <c r="M22" s="28"/>
      <c r="N22" s="28"/>
      <c r="O22" s="28"/>
      <c r="P22" s="28"/>
    </row>
    <row r="23" spans="1:16">
      <c r="A23" s="6" t="s">
        <v>180</v>
      </c>
      <c r="K23" s="28"/>
      <c r="L23" s="28"/>
      <c r="M23" s="28"/>
      <c r="N23" s="28"/>
      <c r="O23" s="28"/>
      <c r="P23" s="28"/>
    </row>
    <row r="24" spans="1:16">
      <c r="K24" s="28"/>
      <c r="L24" s="28"/>
      <c r="M24" s="28"/>
      <c r="N24" s="28"/>
      <c r="O24" s="28"/>
      <c r="P24" s="28"/>
    </row>
    <row r="25" spans="1:16">
      <c r="K25" s="28"/>
      <c r="L25" s="28"/>
      <c r="M25" s="28"/>
      <c r="N25" s="28"/>
      <c r="O25" s="28"/>
      <c r="P25" s="28"/>
    </row>
    <row r="26" spans="1:16">
      <c r="A26" t="s">
        <v>169</v>
      </c>
      <c r="B26" s="7">
        <v>0.12</v>
      </c>
      <c r="C26" t="s">
        <v>170</v>
      </c>
      <c r="K26" s="28"/>
      <c r="L26" s="28"/>
      <c r="M26" s="28"/>
      <c r="N26" s="28"/>
      <c r="O26" s="28"/>
      <c r="P26" s="28"/>
    </row>
    <row r="27" spans="1:16">
      <c r="K27" s="28"/>
      <c r="L27" s="28"/>
      <c r="M27" s="28"/>
      <c r="N27" s="28"/>
      <c r="O27" s="28"/>
      <c r="P27" s="28"/>
    </row>
    <row r="28" spans="1:16">
      <c r="A28" t="s">
        <v>171</v>
      </c>
      <c r="B28" s="7">
        <v>0.2</v>
      </c>
      <c r="C28" t="s">
        <v>172</v>
      </c>
      <c r="K28" s="28"/>
      <c r="L28" s="28"/>
      <c r="M28" s="28"/>
      <c r="N28" s="28"/>
      <c r="O28" s="28"/>
      <c r="P28" s="28"/>
    </row>
    <row r="29" spans="1:16">
      <c r="K29" s="28"/>
      <c r="L29" s="28"/>
      <c r="M29" s="28"/>
      <c r="N29" s="28"/>
      <c r="O29" s="28"/>
      <c r="P29" s="28"/>
    </row>
    <row r="30" spans="1:16">
      <c r="A30" t="s">
        <v>173</v>
      </c>
      <c r="B30" s="3">
        <f xml:space="preserve"> (C19-B28)-(B9*B26)</f>
        <v>1.9723984375000001</v>
      </c>
      <c r="C30" t="s">
        <v>52</v>
      </c>
      <c r="K30" s="28"/>
      <c r="L30" s="28"/>
      <c r="M30" s="28"/>
      <c r="N30" s="28"/>
      <c r="O30" s="28"/>
      <c r="P30" s="28"/>
    </row>
    <row r="31" spans="1:16">
      <c r="K31" s="28"/>
      <c r="L31" s="28"/>
      <c r="M31" s="28"/>
      <c r="N31" s="28"/>
      <c r="O31" s="28"/>
      <c r="P31" s="28"/>
    </row>
    <row r="32" spans="1:16">
      <c r="A32" t="s">
        <v>174</v>
      </c>
      <c r="B32" s="1">
        <v>3</v>
      </c>
      <c r="C32" t="s">
        <v>175</v>
      </c>
      <c r="E32" t="s">
        <v>177</v>
      </c>
      <c r="H32" s="3">
        <f xml:space="preserve"> B32-B28</f>
        <v>2.8</v>
      </c>
      <c r="K32" s="28"/>
      <c r="L32" s="28"/>
      <c r="M32" s="28"/>
      <c r="N32" s="28"/>
      <c r="O32" s="28"/>
      <c r="P32" s="28"/>
    </row>
    <row r="33" spans="1:18">
      <c r="K33" s="28"/>
      <c r="L33" s="28"/>
      <c r="M33" s="28"/>
      <c r="N33" s="28"/>
      <c r="O33" s="28"/>
      <c r="P33" s="28"/>
    </row>
    <row r="34" spans="1:18">
      <c r="A34" t="s">
        <v>176</v>
      </c>
      <c r="B34" s="1">
        <v>2.5</v>
      </c>
      <c r="C34" t="s">
        <v>175</v>
      </c>
      <c r="E34" t="s">
        <v>178</v>
      </c>
      <c r="H34" s="3">
        <f xml:space="preserve"> B34-B28</f>
        <v>2.2999999999999998</v>
      </c>
    </row>
    <row r="37" spans="1:18">
      <c r="A37" t="s">
        <v>179</v>
      </c>
      <c r="B37" s="4">
        <f xml:space="preserve"> B30+H32+H34</f>
        <v>7.0723984374999995</v>
      </c>
      <c r="C37" t="s">
        <v>52</v>
      </c>
    </row>
    <row r="38" spans="1:18">
      <c r="F38" t="s">
        <v>184</v>
      </c>
    </row>
    <row r="40" spans="1:18">
      <c r="E40" t="s">
        <v>181</v>
      </c>
      <c r="G40" s="4">
        <f xml:space="preserve"> B37-(B37*0.15)</f>
        <v>6.0115386718749999</v>
      </c>
      <c r="H40" t="s">
        <v>183</v>
      </c>
    </row>
    <row r="41" spans="1:18">
      <c r="A41" t="s">
        <v>185</v>
      </c>
    </row>
    <row r="42" spans="1:18">
      <c r="A42" t="s">
        <v>186</v>
      </c>
      <c r="E42" t="s">
        <v>182</v>
      </c>
      <c r="G42" s="4">
        <f xml:space="preserve"> B37-(B37*0.2)</f>
        <v>5.6579187499999994</v>
      </c>
      <c r="H42" t="s">
        <v>183</v>
      </c>
    </row>
    <row r="45" spans="1:18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7" spans="1:18">
      <c r="H47" s="28"/>
      <c r="I47" s="28"/>
      <c r="J47" s="28"/>
    </row>
    <row r="48" spans="1:18">
      <c r="A48" s="6" t="s">
        <v>63</v>
      </c>
      <c r="I48" s="28"/>
      <c r="J48" s="28"/>
    </row>
    <row r="49" spans="1:10">
      <c r="I49" s="28"/>
      <c r="J49" s="28"/>
    </row>
    <row r="50" spans="1:10">
      <c r="I50" s="28"/>
      <c r="J50" s="28"/>
    </row>
    <row r="51" spans="1:10">
      <c r="A51" s="6" t="s">
        <v>64</v>
      </c>
      <c r="B51" s="2"/>
      <c r="I51" s="28"/>
      <c r="J51" s="28"/>
    </row>
    <row r="52" spans="1:10">
      <c r="I52" s="28"/>
      <c r="J52" s="28"/>
    </row>
    <row r="53" spans="1:10">
      <c r="A53" t="s">
        <v>51</v>
      </c>
      <c r="I53" s="28"/>
      <c r="J53" s="28"/>
    </row>
    <row r="54" spans="1:10">
      <c r="I54" s="28"/>
      <c r="J54" s="28"/>
    </row>
    <row r="55" spans="1:10">
      <c r="I55" s="28"/>
      <c r="J55" s="28"/>
    </row>
    <row r="56" spans="1:10">
      <c r="A56" t="s">
        <v>55</v>
      </c>
      <c r="B56" s="3">
        <f xml:space="preserve"> F12</f>
        <v>4.3848984375000004</v>
      </c>
      <c r="I56" s="28"/>
      <c r="J56" s="28"/>
    </row>
    <row r="57" spans="1:10">
      <c r="I57" s="28"/>
      <c r="J57" s="28"/>
    </row>
    <row r="58" spans="1:10">
      <c r="A58" t="s">
        <v>57</v>
      </c>
      <c r="B58" s="3">
        <f xml:space="preserve"> B5</f>
        <v>155</v>
      </c>
      <c r="I58" s="28"/>
      <c r="J58" s="28"/>
    </row>
    <row r="60" spans="1:10">
      <c r="A60" t="s">
        <v>59</v>
      </c>
      <c r="B60" s="25">
        <v>155</v>
      </c>
      <c r="D60" t="s">
        <v>73</v>
      </c>
    </row>
    <row r="61" spans="1:10">
      <c r="B61" s="28"/>
    </row>
    <row r="62" spans="1:10">
      <c r="A62" t="s">
        <v>60</v>
      </c>
      <c r="B62" s="27">
        <v>212</v>
      </c>
    </row>
    <row r="65" spans="1:4">
      <c r="A65" t="s">
        <v>61</v>
      </c>
      <c r="C65" s="4">
        <f>(((4*B14)/B9)+0.19)*(B9+F12)*(B60-B58)/(B62-B60)</f>
        <v>0</v>
      </c>
      <c r="D65" t="s">
        <v>52</v>
      </c>
    </row>
    <row r="67" spans="1:4">
      <c r="A67" t="s">
        <v>65</v>
      </c>
      <c r="B67" s="3">
        <f xml:space="preserve"> F12+C65</f>
        <v>4.3848984375000004</v>
      </c>
    </row>
    <row r="72" spans="1:4">
      <c r="A72" s="6" t="s">
        <v>66</v>
      </c>
      <c r="B72" s="2"/>
    </row>
    <row r="74" spans="1:4">
      <c r="A74" t="s">
        <v>51</v>
      </c>
    </row>
    <row r="77" spans="1:4">
      <c r="A77" t="s">
        <v>55</v>
      </c>
      <c r="B77" s="3">
        <f>B67</f>
        <v>4.3848984375000004</v>
      </c>
    </row>
    <row r="79" spans="1:4">
      <c r="A79" t="s">
        <v>57</v>
      </c>
      <c r="B79" s="3">
        <f xml:space="preserve"> B60</f>
        <v>155</v>
      </c>
    </row>
    <row r="81" spans="1:4">
      <c r="A81" t="s">
        <v>59</v>
      </c>
      <c r="B81" s="25">
        <v>155</v>
      </c>
      <c r="D81" t="s">
        <v>73</v>
      </c>
    </row>
    <row r="82" spans="1:4">
      <c r="B82" s="28"/>
    </row>
    <row r="83" spans="1:4">
      <c r="A83" t="s">
        <v>60</v>
      </c>
      <c r="B83" s="27">
        <v>212</v>
      </c>
    </row>
    <row r="86" spans="1:4">
      <c r="A86" t="s">
        <v>61</v>
      </c>
      <c r="C86" s="4">
        <f>(((4*B14)/B9)+0.19)*(B9+B77)*(B81-B79)/(B83-B81)</f>
        <v>0</v>
      </c>
      <c r="D86" t="s">
        <v>52</v>
      </c>
    </row>
    <row r="88" spans="1:4">
      <c r="A88" t="s">
        <v>65</v>
      </c>
      <c r="B88" s="3">
        <f xml:space="preserve"> B77+C86</f>
        <v>4.3848984375000004</v>
      </c>
    </row>
    <row r="92" spans="1:4">
      <c r="A92" s="6" t="s">
        <v>67</v>
      </c>
    </row>
    <row r="93" spans="1:4">
      <c r="A93" t="s">
        <v>50</v>
      </c>
    </row>
    <row r="96" spans="1:4">
      <c r="A96" t="s">
        <v>53</v>
      </c>
      <c r="B96" s="3">
        <f xml:space="preserve"> B81</f>
        <v>155</v>
      </c>
    </row>
    <row r="97" spans="1:7">
      <c r="A97" t="s">
        <v>54</v>
      </c>
    </row>
    <row r="98" spans="1:7">
      <c r="A98" t="s">
        <v>56</v>
      </c>
      <c r="B98" s="25">
        <v>155</v>
      </c>
    </row>
    <row r="101" spans="1:7">
      <c r="A101" t="s">
        <v>58</v>
      </c>
      <c r="B101" s="4">
        <f>(B98-B96)/(212-B96)*B88</f>
        <v>0</v>
      </c>
      <c r="C101" t="s">
        <v>52</v>
      </c>
      <c r="G101" s="2"/>
    </row>
    <row r="104" spans="1:7">
      <c r="A104" s="6" t="s">
        <v>68</v>
      </c>
    </row>
    <row r="105" spans="1:7">
      <c r="A105" t="s">
        <v>50</v>
      </c>
    </row>
    <row r="108" spans="1:7">
      <c r="A108" t="s">
        <v>53</v>
      </c>
      <c r="B108" s="3">
        <f xml:space="preserve"> B98</f>
        <v>155</v>
      </c>
    </row>
    <row r="109" spans="1:7">
      <c r="A109" t="s">
        <v>54</v>
      </c>
    </row>
    <row r="110" spans="1:7">
      <c r="A110" t="s">
        <v>56</v>
      </c>
      <c r="B110" s="25">
        <v>155</v>
      </c>
    </row>
    <row r="113" spans="1:3">
      <c r="A113" t="s">
        <v>58</v>
      </c>
      <c r="B113" s="4">
        <f>(B110-B108)/(212-B108)*B88</f>
        <v>0</v>
      </c>
      <c r="C113" t="s">
        <v>52</v>
      </c>
    </row>
    <row r="116" spans="1:3">
      <c r="A116" s="6" t="s">
        <v>69</v>
      </c>
    </row>
    <row r="117" spans="1:3">
      <c r="A117" t="s">
        <v>50</v>
      </c>
    </row>
    <row r="120" spans="1:3">
      <c r="A120" t="s">
        <v>53</v>
      </c>
      <c r="B120" s="3">
        <f xml:space="preserve"> B110</f>
        <v>155</v>
      </c>
    </row>
    <row r="121" spans="1:3">
      <c r="A121" t="s">
        <v>54</v>
      </c>
    </row>
    <row r="122" spans="1:3">
      <c r="A122" t="s">
        <v>56</v>
      </c>
      <c r="B122" s="25">
        <v>155</v>
      </c>
    </row>
    <row r="125" spans="1:3">
      <c r="A125" t="s">
        <v>58</v>
      </c>
      <c r="B125" s="4">
        <f>(B122-B120)/(212-B120)*B88</f>
        <v>0</v>
      </c>
      <c r="C125" t="s">
        <v>52</v>
      </c>
    </row>
  </sheetData>
  <sheetProtection password="C7C2" sheet="1" objects="1" scenarios="1"/>
  <protectedRanges>
    <protectedRange sqref="B32" name="Range2"/>
    <protectedRange sqref="B34" name="Range1"/>
  </protectedRanges>
  <pageMargins left="0.7" right="0.7" top="0.75" bottom="0.75" header="0.3" footer="0.3"/>
  <pageSetup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84"/>
  <sheetViews>
    <sheetView workbookViewId="0">
      <selection activeCell="F39" sqref="F39"/>
    </sheetView>
  </sheetViews>
  <sheetFormatPr defaultRowHeight="15"/>
  <cols>
    <col min="1" max="2" width="11" customWidth="1"/>
    <col min="7" max="7" width="7" customWidth="1"/>
    <col min="8" max="8" width="6.5703125" customWidth="1"/>
    <col min="9" max="10" width="11" customWidth="1"/>
    <col min="11" max="11" width="7" customWidth="1"/>
    <col min="12" max="12" width="6.7109375" customWidth="1"/>
    <col min="13" max="13" width="7.140625" customWidth="1"/>
    <col min="14" max="14" width="6.5703125" customWidth="1"/>
    <col min="15" max="15" width="9.28515625" customWidth="1"/>
    <col min="16" max="16" width="6.85546875" customWidth="1"/>
    <col min="17" max="17" width="7.28515625" customWidth="1"/>
  </cols>
  <sheetData>
    <row r="1" spans="1:19">
      <c r="A1" t="s">
        <v>101</v>
      </c>
      <c r="B1" t="s">
        <v>102</v>
      </c>
    </row>
    <row r="2" spans="1:19">
      <c r="A2">
        <v>1</v>
      </c>
      <c r="B2">
        <v>0</v>
      </c>
    </row>
    <row r="3" spans="1:19">
      <c r="A3">
        <f t="shared" ref="A3:A34" si="0" xml:space="preserve"> A2+0.001</f>
        <v>1.0009999999999999</v>
      </c>
      <c r="B3">
        <v>0.1</v>
      </c>
    </row>
    <row r="4" spans="1:19">
      <c r="A4">
        <f t="shared" si="0"/>
        <v>1.0019999999999998</v>
      </c>
      <c r="B4">
        <v>0.3</v>
      </c>
      <c r="G4" s="5" t="s">
        <v>111</v>
      </c>
      <c r="H4" s="5"/>
      <c r="I4" s="5"/>
      <c r="J4" s="5"/>
    </row>
    <row r="5" spans="1:19">
      <c r="A5">
        <f t="shared" si="0"/>
        <v>1.0029999999999997</v>
      </c>
      <c r="B5">
        <v>0.4</v>
      </c>
    </row>
    <row r="6" spans="1:19">
      <c r="A6">
        <f t="shared" si="0"/>
        <v>1.0039999999999996</v>
      </c>
      <c r="B6">
        <v>0.5</v>
      </c>
      <c r="G6" s="5" t="s">
        <v>112</v>
      </c>
      <c r="H6" s="5"/>
      <c r="I6" s="5"/>
    </row>
    <row r="7" spans="1:19">
      <c r="A7">
        <f t="shared" si="0"/>
        <v>1.0049999999999994</v>
      </c>
      <c r="B7">
        <v>0.6</v>
      </c>
    </row>
    <row r="8" spans="1:19">
      <c r="A8">
        <f t="shared" si="0"/>
        <v>1.0059999999999993</v>
      </c>
      <c r="B8">
        <v>0.8</v>
      </c>
    </row>
    <row r="9" spans="1:19">
      <c r="A9">
        <f t="shared" si="0"/>
        <v>1.0069999999999992</v>
      </c>
      <c r="B9">
        <v>0.9</v>
      </c>
    </row>
    <row r="10" spans="1:19">
      <c r="A10">
        <f t="shared" si="0"/>
        <v>1.0079999999999991</v>
      </c>
      <c r="B10">
        <v>1</v>
      </c>
      <c r="K10" t="s">
        <v>107</v>
      </c>
      <c r="L10" s="3">
        <f xml:space="preserve"> Gravity!C55/100</f>
        <v>0.75</v>
      </c>
      <c r="N10" t="s">
        <v>108</v>
      </c>
      <c r="P10" s="3">
        <f xml:space="preserve"> ((K14-1)*1000)</f>
        <v>67.877840909090992</v>
      </c>
      <c r="S10" s="2"/>
    </row>
    <row r="11" spans="1:19">
      <c r="A11">
        <f t="shared" si="0"/>
        <v>1.008999999999999</v>
      </c>
      <c r="B11">
        <v>1.2</v>
      </c>
      <c r="N11" t="s">
        <v>109</v>
      </c>
      <c r="P11" s="3">
        <f xml:space="preserve"> P10-(P10*L10)</f>
        <v>16.969460227272748</v>
      </c>
    </row>
    <row r="12" spans="1:19">
      <c r="A12">
        <f t="shared" si="0"/>
        <v>1.0099999999999989</v>
      </c>
      <c r="B12">
        <v>1.3</v>
      </c>
    </row>
    <row r="13" spans="1:19">
      <c r="A13">
        <f t="shared" si="0"/>
        <v>1.0109999999999988</v>
      </c>
      <c r="B13">
        <v>1.4</v>
      </c>
    </row>
    <row r="14" spans="1:19">
      <c r="A14">
        <f t="shared" si="0"/>
        <v>1.0119999999999987</v>
      </c>
      <c r="B14">
        <v>1.6</v>
      </c>
      <c r="I14" t="s">
        <v>103</v>
      </c>
      <c r="K14" s="3">
        <f xml:space="preserve"> Gravity!E52</f>
        <v>1.067877840909091</v>
      </c>
      <c r="M14" t="s">
        <v>113</v>
      </c>
      <c r="N14" s="3">
        <f xml:space="preserve"> (P10/1000)-( P11/1000)+1</f>
        <v>1.0509083806818182</v>
      </c>
    </row>
    <row r="15" spans="1:19">
      <c r="A15">
        <f t="shared" si="0"/>
        <v>1.0129999999999986</v>
      </c>
      <c r="B15">
        <v>1.7</v>
      </c>
    </row>
    <row r="16" spans="1:19">
      <c r="A16">
        <f t="shared" si="0"/>
        <v>1.0139999999999985</v>
      </c>
      <c r="B16">
        <v>1.8</v>
      </c>
    </row>
    <row r="17" spans="1:12">
      <c r="A17">
        <f t="shared" si="0"/>
        <v>1.0149999999999983</v>
      </c>
      <c r="B17">
        <v>2</v>
      </c>
      <c r="I17" t="s">
        <v>110</v>
      </c>
      <c r="K17" s="4">
        <f>VLOOKUP(N14,Table1[],2,TRUE)</f>
        <v>6.5</v>
      </c>
      <c r="L17" t="s">
        <v>105</v>
      </c>
    </row>
    <row r="18" spans="1:12">
      <c r="A18">
        <f t="shared" si="0"/>
        <v>1.0159999999999982</v>
      </c>
      <c r="B18">
        <v>2.1</v>
      </c>
    </row>
    <row r="19" spans="1:12">
      <c r="A19">
        <f t="shared" si="0"/>
        <v>1.0169999999999981</v>
      </c>
      <c r="B19">
        <v>2.2000000000000002</v>
      </c>
    </row>
    <row r="20" spans="1:12">
      <c r="A20">
        <f t="shared" si="0"/>
        <v>1.017999999999998</v>
      </c>
      <c r="B20">
        <v>2.4</v>
      </c>
      <c r="J20" s="17"/>
    </row>
    <row r="21" spans="1:12">
      <c r="A21">
        <f t="shared" si="0"/>
        <v>1.0189999999999979</v>
      </c>
      <c r="B21">
        <v>2.5</v>
      </c>
    </row>
    <row r="22" spans="1:12">
      <c r="A22">
        <f t="shared" si="0"/>
        <v>1.0199999999999978</v>
      </c>
      <c r="B22">
        <v>2.6</v>
      </c>
      <c r="J22" s="2"/>
    </row>
    <row r="23" spans="1:12">
      <c r="A23">
        <f t="shared" si="0"/>
        <v>1.0209999999999977</v>
      </c>
      <c r="B23">
        <v>2.7</v>
      </c>
    </row>
    <row r="24" spans="1:12">
      <c r="A24">
        <f t="shared" si="0"/>
        <v>1.0219999999999976</v>
      </c>
      <c r="B24">
        <v>2.9</v>
      </c>
      <c r="J24" s="2"/>
    </row>
    <row r="25" spans="1:12">
      <c r="A25">
        <f t="shared" si="0"/>
        <v>1.0229999999999975</v>
      </c>
      <c r="B25">
        <v>3</v>
      </c>
    </row>
    <row r="26" spans="1:12">
      <c r="A26">
        <f t="shared" si="0"/>
        <v>1.0239999999999974</v>
      </c>
      <c r="B26">
        <v>3.1</v>
      </c>
    </row>
    <row r="27" spans="1:12">
      <c r="A27">
        <f t="shared" si="0"/>
        <v>1.0249999999999972</v>
      </c>
      <c r="B27">
        <v>3.3</v>
      </c>
      <c r="H27" t="s">
        <v>158</v>
      </c>
      <c r="J27" s="33">
        <f xml:space="preserve"> (Gravity!E52-Gravity!H55)/0.75</f>
        <v>6.7877840909090992E-2</v>
      </c>
      <c r="L27" s="32">
        <f xml:space="preserve"> J27*100</f>
        <v>6.7877840909090992</v>
      </c>
    </row>
    <row r="28" spans="1:12">
      <c r="A28">
        <f t="shared" si="0"/>
        <v>1.0259999999999971</v>
      </c>
      <c r="B28">
        <v>3.4</v>
      </c>
    </row>
    <row r="29" spans="1:12">
      <c r="A29">
        <f t="shared" si="0"/>
        <v>1.026999999999997</v>
      </c>
      <c r="B29">
        <v>3.5</v>
      </c>
      <c r="H29" t="s">
        <v>159</v>
      </c>
      <c r="I29" s="2"/>
      <c r="J29">
        <f xml:space="preserve"> (0.79*J27)/Gravity!H55</f>
        <v>5.2728716461355768E-2</v>
      </c>
    </row>
    <row r="30" spans="1:12">
      <c r="A30">
        <f t="shared" si="0"/>
        <v>1.0279999999999969</v>
      </c>
      <c r="B30">
        <v>3.7</v>
      </c>
    </row>
    <row r="31" spans="1:12">
      <c r="A31">
        <f t="shared" si="0"/>
        <v>1.0289999999999968</v>
      </c>
      <c r="B31">
        <v>3.8</v>
      </c>
    </row>
    <row r="32" spans="1:12">
      <c r="A32">
        <f t="shared" si="0"/>
        <v>1.0299999999999967</v>
      </c>
      <c r="B32">
        <v>3.9</v>
      </c>
      <c r="H32" t="s">
        <v>160</v>
      </c>
      <c r="J32">
        <f xml:space="preserve"> (-463.7)+(668.72*Gravity!E52)-(205.35*Gravity!E52^2)</f>
        <v>16.23771065718509</v>
      </c>
    </row>
    <row r="33" spans="1:10">
      <c r="A33">
        <f t="shared" si="0"/>
        <v>1.0309999999999966</v>
      </c>
      <c r="B33">
        <v>4</v>
      </c>
    </row>
    <row r="34" spans="1:10">
      <c r="A34">
        <f t="shared" si="0"/>
        <v>1.0319999999999965</v>
      </c>
      <c r="B34">
        <v>4.2</v>
      </c>
      <c r="H34" t="s">
        <v>161</v>
      </c>
      <c r="J34">
        <f xml:space="preserve"> (-463.7)+(668.72*Gravity!H55)-(205.35*Gravity!H55^2)</f>
        <v>3.9893270119547708</v>
      </c>
    </row>
    <row r="35" spans="1:10">
      <c r="A35">
        <f t="shared" ref="A35:A161" si="1" xml:space="preserve"> A34+0.001</f>
        <v>1.0329999999999964</v>
      </c>
      <c r="B35">
        <v>4.3</v>
      </c>
    </row>
    <row r="36" spans="1:10">
      <c r="A36">
        <f t="shared" si="1"/>
        <v>1.0339999999999963</v>
      </c>
      <c r="B36">
        <v>4.4000000000000004</v>
      </c>
      <c r="H36" t="s">
        <v>162</v>
      </c>
      <c r="J36">
        <f>(0.1808*J32)+(0.8192*J34)</f>
        <v>6.2038347750124121</v>
      </c>
    </row>
    <row r="37" spans="1:10">
      <c r="A37">
        <f t="shared" si="1"/>
        <v>1.0349999999999961</v>
      </c>
      <c r="B37">
        <v>4.5999999999999996</v>
      </c>
    </row>
    <row r="38" spans="1:10">
      <c r="A38">
        <f t="shared" si="1"/>
        <v>1.035999999999996</v>
      </c>
      <c r="B38">
        <v>4.7</v>
      </c>
    </row>
    <row r="39" spans="1:10">
      <c r="A39">
        <f t="shared" si="1"/>
        <v>1.0369999999999959</v>
      </c>
      <c r="B39">
        <v>4.8</v>
      </c>
      <c r="H39" t="s">
        <v>163</v>
      </c>
      <c r="J39" s="17">
        <f xml:space="preserve"> ((6.9*(J29*100))+4*(J36-0.1))*Gravity!H55*3.55</f>
        <v>219.49602183413032</v>
      </c>
    </row>
    <row r="40" spans="1:10">
      <c r="A40">
        <f t="shared" si="1"/>
        <v>1.0379999999999958</v>
      </c>
      <c r="B40">
        <v>5</v>
      </c>
    </row>
    <row r="41" spans="1:10">
      <c r="A41">
        <f t="shared" si="1"/>
        <v>1.0389999999999957</v>
      </c>
      <c r="B41">
        <v>5.0999999999999996</v>
      </c>
    </row>
    <row r="42" spans="1:10">
      <c r="A42">
        <f t="shared" si="1"/>
        <v>1.0399999999999956</v>
      </c>
      <c r="B42">
        <v>5.2</v>
      </c>
    </row>
    <row r="43" spans="1:10">
      <c r="A43">
        <f t="shared" si="1"/>
        <v>1.0409999999999955</v>
      </c>
      <c r="B43">
        <v>5.4</v>
      </c>
    </row>
    <row r="44" spans="1:10">
      <c r="A44">
        <f t="shared" si="1"/>
        <v>1.0419999999999954</v>
      </c>
      <c r="B44">
        <v>5.5</v>
      </c>
    </row>
    <row r="45" spans="1:10">
      <c r="A45">
        <f t="shared" si="1"/>
        <v>1.0429999999999953</v>
      </c>
      <c r="B45">
        <v>5.6</v>
      </c>
    </row>
    <row r="46" spans="1:10">
      <c r="A46">
        <f t="shared" si="1"/>
        <v>1.0439999999999952</v>
      </c>
      <c r="B46">
        <v>5.8</v>
      </c>
    </row>
    <row r="47" spans="1:10">
      <c r="A47">
        <f t="shared" si="1"/>
        <v>1.044999999999995</v>
      </c>
      <c r="B47">
        <v>5.9</v>
      </c>
    </row>
    <row r="48" spans="1:10">
      <c r="A48">
        <f t="shared" si="1"/>
        <v>1.0459999999999949</v>
      </c>
      <c r="B48">
        <v>6</v>
      </c>
    </row>
    <row r="49" spans="1:2">
      <c r="A49">
        <f t="shared" si="1"/>
        <v>1.0469999999999948</v>
      </c>
      <c r="B49">
        <v>6.1</v>
      </c>
    </row>
    <row r="50" spans="1:2">
      <c r="A50">
        <f t="shared" si="1"/>
        <v>1.0479999999999947</v>
      </c>
      <c r="B50">
        <v>6.3</v>
      </c>
    </row>
    <row r="51" spans="1:2">
      <c r="A51">
        <f t="shared" si="1"/>
        <v>1.0489999999999946</v>
      </c>
      <c r="B51">
        <v>6.4</v>
      </c>
    </row>
    <row r="52" spans="1:2">
      <c r="A52">
        <f t="shared" si="1"/>
        <v>1.0499999999999945</v>
      </c>
      <c r="B52">
        <v>6.5</v>
      </c>
    </row>
    <row r="53" spans="1:2">
      <c r="A53">
        <f t="shared" si="1"/>
        <v>1.0509999999999944</v>
      </c>
      <c r="B53">
        <v>6.7</v>
      </c>
    </row>
    <row r="54" spans="1:2">
      <c r="A54">
        <f t="shared" si="1"/>
        <v>1.0519999999999943</v>
      </c>
      <c r="B54">
        <v>6.8</v>
      </c>
    </row>
    <row r="55" spans="1:2">
      <c r="A55">
        <f t="shared" si="1"/>
        <v>1.0529999999999942</v>
      </c>
      <c r="B55">
        <v>6.9</v>
      </c>
    </row>
    <row r="56" spans="1:2">
      <c r="A56">
        <f t="shared" si="1"/>
        <v>1.0539999999999941</v>
      </c>
      <c r="B56">
        <v>7.1</v>
      </c>
    </row>
    <row r="57" spans="1:2">
      <c r="A57">
        <f t="shared" si="1"/>
        <v>1.0549999999999939</v>
      </c>
      <c r="B57">
        <v>7.2</v>
      </c>
    </row>
    <row r="58" spans="1:2">
      <c r="A58">
        <f t="shared" si="1"/>
        <v>1.0559999999999938</v>
      </c>
      <c r="B58">
        <v>7.3</v>
      </c>
    </row>
    <row r="59" spans="1:2">
      <c r="A59">
        <f t="shared" si="1"/>
        <v>1.0569999999999937</v>
      </c>
      <c r="B59">
        <v>7.4</v>
      </c>
    </row>
    <row r="60" spans="1:2">
      <c r="A60">
        <f t="shared" si="1"/>
        <v>1.0579999999999936</v>
      </c>
      <c r="B60">
        <v>7.6</v>
      </c>
    </row>
    <row r="61" spans="1:2">
      <c r="A61">
        <f t="shared" si="1"/>
        <v>1.0589999999999935</v>
      </c>
      <c r="B61">
        <v>7.7</v>
      </c>
    </row>
    <row r="62" spans="1:2">
      <c r="A62">
        <f t="shared" si="1"/>
        <v>1.0599999999999934</v>
      </c>
      <c r="B62">
        <v>7.8</v>
      </c>
    </row>
    <row r="63" spans="1:2">
      <c r="A63">
        <f t="shared" si="1"/>
        <v>1.0609999999999933</v>
      </c>
      <c r="B63">
        <v>8</v>
      </c>
    </row>
    <row r="64" spans="1:2">
      <c r="A64">
        <f t="shared" si="1"/>
        <v>1.0619999999999932</v>
      </c>
      <c r="B64">
        <v>8.1</v>
      </c>
    </row>
    <row r="65" spans="1:2">
      <c r="A65">
        <f t="shared" si="1"/>
        <v>1.0629999999999931</v>
      </c>
      <c r="B65">
        <v>8.1999999999999993</v>
      </c>
    </row>
    <row r="66" spans="1:2">
      <c r="A66">
        <f t="shared" si="1"/>
        <v>1.063999999999993</v>
      </c>
      <c r="B66">
        <v>8.4</v>
      </c>
    </row>
    <row r="67" spans="1:2">
      <c r="A67">
        <f t="shared" si="1"/>
        <v>1.0649999999999928</v>
      </c>
      <c r="B67">
        <v>8.5</v>
      </c>
    </row>
    <row r="68" spans="1:2">
      <c r="A68">
        <f t="shared" si="1"/>
        <v>1.0659999999999927</v>
      </c>
      <c r="B68">
        <v>8.6</v>
      </c>
    </row>
    <row r="69" spans="1:2">
      <c r="A69">
        <f t="shared" si="1"/>
        <v>1.0669999999999926</v>
      </c>
      <c r="B69">
        <v>8.8000000000000007</v>
      </c>
    </row>
    <row r="70" spans="1:2">
      <c r="A70">
        <f t="shared" si="1"/>
        <v>1.0679999999999925</v>
      </c>
      <c r="B70">
        <v>8.9</v>
      </c>
    </row>
    <row r="71" spans="1:2">
      <c r="A71">
        <f t="shared" si="1"/>
        <v>1.0689999999999924</v>
      </c>
      <c r="B71">
        <v>9</v>
      </c>
    </row>
    <row r="72" spans="1:2">
      <c r="A72">
        <f t="shared" si="1"/>
        <v>1.0699999999999923</v>
      </c>
      <c r="B72">
        <v>9.1999999999999993</v>
      </c>
    </row>
    <row r="73" spans="1:2">
      <c r="A73">
        <f t="shared" si="1"/>
        <v>1.0709999999999922</v>
      </c>
      <c r="B73">
        <v>9.3000000000000007</v>
      </c>
    </row>
    <row r="74" spans="1:2">
      <c r="A74">
        <f t="shared" si="1"/>
        <v>1.0719999999999921</v>
      </c>
      <c r="B74">
        <v>9.4</v>
      </c>
    </row>
    <row r="75" spans="1:2">
      <c r="A75">
        <f t="shared" si="1"/>
        <v>1.072999999999992</v>
      </c>
      <c r="B75">
        <v>9.5</v>
      </c>
    </row>
    <row r="76" spans="1:2">
      <c r="A76">
        <f t="shared" si="1"/>
        <v>1.0739999999999919</v>
      </c>
      <c r="B76">
        <v>9.6999999999999993</v>
      </c>
    </row>
    <row r="77" spans="1:2">
      <c r="A77">
        <f t="shared" si="1"/>
        <v>1.0749999999999917</v>
      </c>
      <c r="B77">
        <v>9.8000000000000007</v>
      </c>
    </row>
    <row r="78" spans="1:2">
      <c r="A78">
        <f t="shared" si="1"/>
        <v>1.0759999999999916</v>
      </c>
      <c r="B78">
        <v>9.9</v>
      </c>
    </row>
    <row r="79" spans="1:2">
      <c r="A79">
        <f t="shared" si="1"/>
        <v>1.0769999999999915</v>
      </c>
      <c r="B79">
        <v>10.1</v>
      </c>
    </row>
    <row r="80" spans="1:2">
      <c r="A80">
        <f t="shared" si="1"/>
        <v>1.0779999999999914</v>
      </c>
      <c r="B80">
        <v>10.199999999999999</v>
      </c>
    </row>
    <row r="81" spans="1:2">
      <c r="A81">
        <f t="shared" si="1"/>
        <v>1.0789999999999913</v>
      </c>
      <c r="B81">
        <v>10.3</v>
      </c>
    </row>
    <row r="82" spans="1:2">
      <c r="A82">
        <f t="shared" si="1"/>
        <v>1.0799999999999912</v>
      </c>
      <c r="B82">
        <v>10.5</v>
      </c>
    </row>
    <row r="83" spans="1:2">
      <c r="A83">
        <f t="shared" si="1"/>
        <v>1.0809999999999911</v>
      </c>
      <c r="B83">
        <v>10.6</v>
      </c>
    </row>
    <row r="84" spans="1:2">
      <c r="A84">
        <f t="shared" si="1"/>
        <v>1.081999999999991</v>
      </c>
      <c r="B84">
        <v>10.7</v>
      </c>
    </row>
    <row r="85" spans="1:2">
      <c r="A85">
        <f t="shared" si="1"/>
        <v>1.0829999999999909</v>
      </c>
      <c r="B85">
        <v>10.8</v>
      </c>
    </row>
    <row r="86" spans="1:2">
      <c r="A86">
        <f t="shared" si="1"/>
        <v>1.0839999999999907</v>
      </c>
      <c r="B86">
        <v>11</v>
      </c>
    </row>
    <row r="87" spans="1:2">
      <c r="A87">
        <f t="shared" si="1"/>
        <v>1.0849999999999906</v>
      </c>
      <c r="B87">
        <v>11.1</v>
      </c>
    </row>
    <row r="88" spans="1:2">
      <c r="A88">
        <f t="shared" si="1"/>
        <v>1.0859999999999905</v>
      </c>
      <c r="B88">
        <v>11.2</v>
      </c>
    </row>
    <row r="89" spans="1:2">
      <c r="A89">
        <f t="shared" si="1"/>
        <v>1.0869999999999904</v>
      </c>
      <c r="B89">
        <v>11.4</v>
      </c>
    </row>
    <row r="90" spans="1:2">
      <c r="A90">
        <f t="shared" si="1"/>
        <v>1.0879999999999903</v>
      </c>
      <c r="B90">
        <v>11.5</v>
      </c>
    </row>
    <row r="91" spans="1:2">
      <c r="A91">
        <f t="shared" si="1"/>
        <v>1.0889999999999902</v>
      </c>
      <c r="B91">
        <v>11.6</v>
      </c>
    </row>
    <row r="92" spans="1:2">
      <c r="A92">
        <f t="shared" si="1"/>
        <v>1.0899999999999901</v>
      </c>
      <c r="B92">
        <v>11.8</v>
      </c>
    </row>
    <row r="93" spans="1:2">
      <c r="A93">
        <f t="shared" si="1"/>
        <v>1.09099999999999</v>
      </c>
      <c r="B93">
        <v>11.9</v>
      </c>
    </row>
    <row r="94" spans="1:2">
      <c r="A94">
        <f t="shared" si="1"/>
        <v>1.0919999999999899</v>
      </c>
      <c r="B94">
        <v>12</v>
      </c>
    </row>
    <row r="95" spans="1:2">
      <c r="A95">
        <f t="shared" si="1"/>
        <v>1.0929999999999898</v>
      </c>
      <c r="B95">
        <v>12.2</v>
      </c>
    </row>
    <row r="96" spans="1:2">
      <c r="A96">
        <f t="shared" si="1"/>
        <v>1.0939999999999896</v>
      </c>
      <c r="B96">
        <v>12.3</v>
      </c>
    </row>
    <row r="97" spans="1:2">
      <c r="A97">
        <f t="shared" si="1"/>
        <v>1.0949999999999895</v>
      </c>
      <c r="B97">
        <v>12.4</v>
      </c>
    </row>
    <row r="98" spans="1:2">
      <c r="A98">
        <f t="shared" si="1"/>
        <v>1.0959999999999894</v>
      </c>
      <c r="B98">
        <v>12.6</v>
      </c>
    </row>
    <row r="99" spans="1:2">
      <c r="A99">
        <f t="shared" si="1"/>
        <v>1.0969999999999893</v>
      </c>
      <c r="B99">
        <v>12.7</v>
      </c>
    </row>
    <row r="100" spans="1:2">
      <c r="A100">
        <f t="shared" si="1"/>
        <v>1.0979999999999892</v>
      </c>
      <c r="B100">
        <v>12.8</v>
      </c>
    </row>
    <row r="101" spans="1:2">
      <c r="A101">
        <f t="shared" si="1"/>
        <v>1.0989999999999891</v>
      </c>
      <c r="B101">
        <v>12.9</v>
      </c>
    </row>
    <row r="102" spans="1:2">
      <c r="A102">
        <f t="shared" si="1"/>
        <v>1.099999999999989</v>
      </c>
      <c r="B102">
        <v>13.1</v>
      </c>
    </row>
    <row r="103" spans="1:2">
      <c r="A103">
        <f t="shared" si="1"/>
        <v>1.1009999999999889</v>
      </c>
      <c r="B103">
        <v>13.2</v>
      </c>
    </row>
    <row r="104" spans="1:2">
      <c r="A104">
        <f t="shared" si="1"/>
        <v>1.1019999999999888</v>
      </c>
      <c r="B104">
        <v>13.3</v>
      </c>
    </row>
    <row r="105" spans="1:2">
      <c r="A105">
        <f t="shared" si="1"/>
        <v>1.1029999999999887</v>
      </c>
      <c r="B105">
        <v>13.5</v>
      </c>
    </row>
    <row r="106" spans="1:2">
      <c r="A106">
        <f t="shared" si="1"/>
        <v>1.1039999999999885</v>
      </c>
      <c r="B106">
        <v>13.6</v>
      </c>
    </row>
    <row r="107" spans="1:2">
      <c r="A107">
        <f t="shared" si="1"/>
        <v>1.1049999999999884</v>
      </c>
      <c r="B107">
        <v>13.7</v>
      </c>
    </row>
    <row r="108" spans="1:2">
      <c r="A108">
        <f t="shared" si="1"/>
        <v>1.1059999999999883</v>
      </c>
      <c r="B108">
        <v>13.9</v>
      </c>
    </row>
    <row r="109" spans="1:2">
      <c r="A109">
        <f t="shared" si="1"/>
        <v>1.1069999999999882</v>
      </c>
      <c r="B109">
        <v>14</v>
      </c>
    </row>
    <row r="110" spans="1:2">
      <c r="A110">
        <f t="shared" si="1"/>
        <v>1.1079999999999881</v>
      </c>
      <c r="B110">
        <v>14.1</v>
      </c>
    </row>
    <row r="111" spans="1:2">
      <c r="A111">
        <f t="shared" si="1"/>
        <v>1.108999999999988</v>
      </c>
      <c r="B111">
        <v>14.2</v>
      </c>
    </row>
    <row r="112" spans="1:2">
      <c r="A112">
        <f t="shared" si="1"/>
        <v>1.1099999999999879</v>
      </c>
      <c r="B112">
        <v>14.4</v>
      </c>
    </row>
    <row r="113" spans="1:6">
      <c r="A113">
        <f t="shared" si="1"/>
        <v>1.1109999999999878</v>
      </c>
      <c r="B113">
        <v>14.5</v>
      </c>
    </row>
    <row r="114" spans="1:6">
      <c r="A114">
        <f t="shared" si="1"/>
        <v>1.1119999999999877</v>
      </c>
      <c r="B114">
        <v>14.6</v>
      </c>
    </row>
    <row r="115" spans="1:6">
      <c r="A115">
        <f t="shared" si="1"/>
        <v>1.1129999999999876</v>
      </c>
      <c r="B115">
        <v>14.8</v>
      </c>
    </row>
    <row r="116" spans="1:6">
      <c r="A116">
        <f t="shared" si="1"/>
        <v>1.1139999999999874</v>
      </c>
      <c r="B116">
        <v>14.9</v>
      </c>
    </row>
    <row r="117" spans="1:6">
      <c r="A117">
        <f t="shared" si="1"/>
        <v>1.1149999999999873</v>
      </c>
      <c r="B117">
        <v>15</v>
      </c>
    </row>
    <row r="118" spans="1:6">
      <c r="A118">
        <f t="shared" si="1"/>
        <v>1.1159999999999872</v>
      </c>
      <c r="B118">
        <v>15.2</v>
      </c>
    </row>
    <row r="119" spans="1:6">
      <c r="A119">
        <f t="shared" si="1"/>
        <v>1.1169999999999871</v>
      </c>
      <c r="B119">
        <v>15.3</v>
      </c>
    </row>
    <row r="120" spans="1:6">
      <c r="A120">
        <f t="shared" si="1"/>
        <v>1.117999999999987</v>
      </c>
      <c r="B120">
        <v>15.4</v>
      </c>
    </row>
    <row r="121" spans="1:6">
      <c r="A121">
        <f t="shared" si="1"/>
        <v>1.1189999999999869</v>
      </c>
      <c r="B121">
        <v>15.6</v>
      </c>
    </row>
    <row r="122" spans="1:6">
      <c r="A122">
        <f t="shared" si="1"/>
        <v>1.1199999999999868</v>
      </c>
      <c r="B122">
        <v>15.7</v>
      </c>
    </row>
    <row r="123" spans="1:6">
      <c r="A123">
        <f t="shared" si="1"/>
        <v>1.1209999999999867</v>
      </c>
      <c r="B123">
        <v>15.8</v>
      </c>
    </row>
    <row r="124" spans="1:6">
      <c r="A124">
        <f t="shared" si="1"/>
        <v>1.1219999999999866</v>
      </c>
      <c r="B124">
        <v>16</v>
      </c>
      <c r="F124" s="11" t="s">
        <v>83</v>
      </c>
    </row>
    <row r="125" spans="1:6">
      <c r="A125">
        <f t="shared" si="1"/>
        <v>1.1229999999999865</v>
      </c>
      <c r="B125">
        <v>16.100000000000001</v>
      </c>
      <c r="F125" s="11" t="s">
        <v>84</v>
      </c>
    </row>
    <row r="126" spans="1:6">
      <c r="A126">
        <f t="shared" si="1"/>
        <v>1.1239999999999863</v>
      </c>
      <c r="B126">
        <v>16.2</v>
      </c>
      <c r="F126" s="11" t="s">
        <v>85</v>
      </c>
    </row>
    <row r="127" spans="1:6">
      <c r="A127">
        <f t="shared" si="1"/>
        <v>1.1249999999999862</v>
      </c>
      <c r="B127">
        <v>16.3</v>
      </c>
      <c r="F127" s="11" t="s">
        <v>86</v>
      </c>
    </row>
    <row r="128" spans="1:6">
      <c r="A128">
        <f t="shared" si="1"/>
        <v>1.1259999999999861</v>
      </c>
      <c r="B128">
        <v>16.5</v>
      </c>
      <c r="F128" s="11" t="s">
        <v>87</v>
      </c>
    </row>
    <row r="129" spans="1:10">
      <c r="A129">
        <f t="shared" si="1"/>
        <v>1.126999999999986</v>
      </c>
      <c r="B129">
        <v>16.600000000000001</v>
      </c>
      <c r="F129" s="11" t="s">
        <v>88</v>
      </c>
    </row>
    <row r="130" spans="1:10">
      <c r="A130">
        <f t="shared" si="1"/>
        <v>1.1279999999999859</v>
      </c>
      <c r="B130">
        <v>16.7</v>
      </c>
      <c r="F130" s="11" t="s">
        <v>89</v>
      </c>
    </row>
    <row r="131" spans="1:10">
      <c r="A131">
        <f t="shared" si="1"/>
        <v>1.1289999999999858</v>
      </c>
      <c r="B131">
        <v>16.899999999999999</v>
      </c>
      <c r="F131" s="11" t="s">
        <v>90</v>
      </c>
    </row>
    <row r="132" spans="1:10">
      <c r="A132">
        <f t="shared" si="1"/>
        <v>1.1299999999999857</v>
      </c>
      <c r="B132">
        <v>17</v>
      </c>
      <c r="F132" s="11" t="s">
        <v>91</v>
      </c>
    </row>
    <row r="133" spans="1:10">
      <c r="A133">
        <f t="shared" si="1"/>
        <v>1.1309999999999856</v>
      </c>
      <c r="B133">
        <v>17.100000000000001</v>
      </c>
      <c r="F133" s="11" t="s">
        <v>92</v>
      </c>
    </row>
    <row r="134" spans="1:10">
      <c r="A134">
        <f t="shared" si="1"/>
        <v>1.1319999999999855</v>
      </c>
      <c r="B134">
        <v>17.3</v>
      </c>
      <c r="F134" s="11" t="s">
        <v>93</v>
      </c>
    </row>
    <row r="135" spans="1:10">
      <c r="A135">
        <f t="shared" si="1"/>
        <v>1.1329999999999854</v>
      </c>
      <c r="B135">
        <v>17.399999999999999</v>
      </c>
      <c r="F135" s="11" t="s">
        <v>94</v>
      </c>
    </row>
    <row r="136" spans="1:10">
      <c r="A136">
        <f t="shared" si="1"/>
        <v>1.1339999999999852</v>
      </c>
      <c r="B136">
        <v>17.5</v>
      </c>
      <c r="F136" s="11" t="s">
        <v>95</v>
      </c>
    </row>
    <row r="137" spans="1:10">
      <c r="A137">
        <f t="shared" si="1"/>
        <v>1.1349999999999851</v>
      </c>
      <c r="B137">
        <v>17.600000000000001</v>
      </c>
      <c r="F137" s="11" t="s">
        <v>96</v>
      </c>
    </row>
    <row r="138" spans="1:10">
      <c r="A138">
        <f t="shared" si="1"/>
        <v>1.135999999999985</v>
      </c>
      <c r="B138">
        <v>17.8</v>
      </c>
      <c r="F138" s="11" t="s">
        <v>97</v>
      </c>
    </row>
    <row r="139" spans="1:10">
      <c r="A139">
        <f t="shared" si="1"/>
        <v>1.1369999999999849</v>
      </c>
      <c r="B139">
        <v>17.899999999999999</v>
      </c>
      <c r="F139" s="11" t="s">
        <v>98</v>
      </c>
    </row>
    <row r="140" spans="1:10">
      <c r="A140">
        <f t="shared" si="1"/>
        <v>1.1379999999999848</v>
      </c>
      <c r="B140">
        <v>18</v>
      </c>
      <c r="F140" s="11" t="s">
        <v>99</v>
      </c>
    </row>
    <row r="141" spans="1:10">
      <c r="A141">
        <f t="shared" si="1"/>
        <v>1.1389999999999847</v>
      </c>
      <c r="B141">
        <v>18.2</v>
      </c>
      <c r="F141" s="11" t="s">
        <v>100</v>
      </c>
    </row>
    <row r="142" spans="1:10">
      <c r="A142">
        <f t="shared" si="1"/>
        <v>1.1399999999999846</v>
      </c>
      <c r="B142">
        <v>18.3</v>
      </c>
    </row>
    <row r="143" spans="1:10">
      <c r="A143">
        <f t="shared" si="1"/>
        <v>1.1409999999999845</v>
      </c>
      <c r="B143">
        <v>18.399999999999999</v>
      </c>
    </row>
    <row r="144" spans="1:10">
      <c r="A144">
        <f t="shared" si="1"/>
        <v>1.1419999999999844</v>
      </c>
      <c r="B144">
        <v>18.600000000000001</v>
      </c>
      <c r="I144" t="s">
        <v>101</v>
      </c>
      <c r="J144" t="s">
        <v>102</v>
      </c>
    </row>
    <row r="145" spans="1:10">
      <c r="A145">
        <f t="shared" si="1"/>
        <v>1.1429999999999843</v>
      </c>
      <c r="B145">
        <v>18.7</v>
      </c>
      <c r="I145">
        <v>1</v>
      </c>
      <c r="J145" s="20"/>
    </row>
    <row r="146" spans="1:10">
      <c r="A146">
        <f t="shared" si="1"/>
        <v>1.1439999999999841</v>
      </c>
      <c r="B146">
        <v>18.8</v>
      </c>
      <c r="I146">
        <v>2</v>
      </c>
      <c r="J146" s="21"/>
    </row>
    <row r="147" spans="1:10">
      <c r="A147">
        <f t="shared" si="1"/>
        <v>1.144999999999984</v>
      </c>
      <c r="B147">
        <v>19</v>
      </c>
      <c r="I147">
        <v>3</v>
      </c>
      <c r="J147" s="22"/>
    </row>
    <row r="148" spans="1:10">
      <c r="A148">
        <f t="shared" si="1"/>
        <v>1.1459999999999839</v>
      </c>
      <c r="B148">
        <v>19.100000000000001</v>
      </c>
      <c r="I148">
        <v>4</v>
      </c>
      <c r="J148" s="23"/>
    </row>
    <row r="149" spans="1:10">
      <c r="A149">
        <f t="shared" si="1"/>
        <v>1.1469999999999838</v>
      </c>
      <c r="B149">
        <v>19.2</v>
      </c>
      <c r="I149">
        <v>5</v>
      </c>
      <c r="J149" s="24"/>
    </row>
    <row r="150" spans="1:10">
      <c r="A150">
        <f t="shared" si="1"/>
        <v>1.1479999999999837</v>
      </c>
      <c r="B150">
        <v>19.399999999999999</v>
      </c>
      <c r="I150">
        <v>6</v>
      </c>
    </row>
    <row r="151" spans="1:10">
      <c r="A151">
        <f t="shared" si="1"/>
        <v>1.1489999999999836</v>
      </c>
      <c r="B151">
        <v>19.5</v>
      </c>
      <c r="I151">
        <v>7</v>
      </c>
    </row>
    <row r="152" spans="1:10">
      <c r="A152">
        <f t="shared" si="1"/>
        <v>1.1499999999999835</v>
      </c>
      <c r="B152">
        <v>19.600000000000001</v>
      </c>
      <c r="I152">
        <v>8</v>
      </c>
    </row>
    <row r="153" spans="1:10">
      <c r="A153">
        <f t="shared" si="1"/>
        <v>1.1509999999999834</v>
      </c>
      <c r="B153">
        <v>19.8</v>
      </c>
      <c r="I153">
        <v>9</v>
      </c>
    </row>
    <row r="154" spans="1:10">
      <c r="A154">
        <f t="shared" si="1"/>
        <v>1.1519999999999833</v>
      </c>
      <c r="B154">
        <v>19.899999999999999</v>
      </c>
      <c r="I154">
        <v>10</v>
      </c>
    </row>
    <row r="155" spans="1:10">
      <c r="A155">
        <f t="shared" si="1"/>
        <v>1.1529999999999831</v>
      </c>
      <c r="B155">
        <v>20</v>
      </c>
      <c r="I155">
        <v>11</v>
      </c>
    </row>
    <row r="156" spans="1:10">
      <c r="A156">
        <f t="shared" si="1"/>
        <v>1.153999999999983</v>
      </c>
      <c r="B156">
        <v>20.100000000000001</v>
      </c>
      <c r="I156">
        <v>12</v>
      </c>
    </row>
    <row r="157" spans="1:10">
      <c r="A157">
        <f t="shared" si="1"/>
        <v>1.1549999999999829</v>
      </c>
      <c r="B157">
        <v>20.3</v>
      </c>
      <c r="I157">
        <v>13</v>
      </c>
    </row>
    <row r="158" spans="1:10">
      <c r="A158">
        <f t="shared" si="1"/>
        <v>1.1559999999999828</v>
      </c>
      <c r="B158">
        <v>20.399999999999999</v>
      </c>
      <c r="I158">
        <v>14</v>
      </c>
    </row>
    <row r="159" spans="1:10">
      <c r="A159">
        <f t="shared" si="1"/>
        <v>1.1569999999999827</v>
      </c>
      <c r="B159">
        <v>20.5</v>
      </c>
      <c r="I159">
        <v>15</v>
      </c>
    </row>
    <row r="160" spans="1:10">
      <c r="A160">
        <f t="shared" si="1"/>
        <v>1.1579999999999826</v>
      </c>
      <c r="B160">
        <v>20.7</v>
      </c>
      <c r="I160">
        <v>16</v>
      </c>
    </row>
    <row r="161" spans="1:10">
      <c r="A161">
        <f t="shared" si="1"/>
        <v>1.1589999999999825</v>
      </c>
      <c r="B161">
        <v>20.8</v>
      </c>
      <c r="I161">
        <v>17</v>
      </c>
    </row>
    <row r="162" spans="1:10">
      <c r="I162">
        <v>18</v>
      </c>
    </row>
    <row r="163" spans="1:10">
      <c r="I163">
        <v>19</v>
      </c>
    </row>
    <row r="164" spans="1:10">
      <c r="I164">
        <v>20</v>
      </c>
    </row>
    <row r="165" spans="1:10">
      <c r="I165">
        <v>21</v>
      </c>
    </row>
    <row r="166" spans="1:10">
      <c r="I166">
        <v>22</v>
      </c>
    </row>
    <row r="167" spans="1:10">
      <c r="I167" s="2">
        <v>23</v>
      </c>
      <c r="J167" s="19"/>
    </row>
    <row r="168" spans="1:10">
      <c r="I168">
        <v>24</v>
      </c>
    </row>
    <row r="169" spans="1:10">
      <c r="I169">
        <v>25</v>
      </c>
    </row>
    <row r="170" spans="1:10">
      <c r="I170">
        <v>26</v>
      </c>
    </row>
    <row r="171" spans="1:10">
      <c r="I171">
        <v>27</v>
      </c>
    </row>
    <row r="172" spans="1:10">
      <c r="I172">
        <v>28</v>
      </c>
    </row>
    <row r="173" spans="1:10">
      <c r="I173">
        <v>29</v>
      </c>
    </row>
    <row r="174" spans="1:10">
      <c r="I174">
        <v>30</v>
      </c>
    </row>
    <row r="175" spans="1:10">
      <c r="I175">
        <v>31</v>
      </c>
    </row>
    <row r="176" spans="1:10">
      <c r="I176">
        <v>32</v>
      </c>
    </row>
    <row r="177" spans="9:9">
      <c r="I177">
        <v>33</v>
      </c>
    </row>
    <row r="178" spans="9:9">
      <c r="I178">
        <v>34</v>
      </c>
    </row>
    <row r="179" spans="9:9">
      <c r="I179">
        <v>35</v>
      </c>
    </row>
    <row r="180" spans="9:9">
      <c r="I180">
        <v>36</v>
      </c>
    </row>
    <row r="181" spans="9:9">
      <c r="I181">
        <v>37</v>
      </c>
    </row>
    <row r="182" spans="9:9">
      <c r="I182">
        <v>38</v>
      </c>
    </row>
    <row r="183" spans="9:9">
      <c r="I183">
        <v>39</v>
      </c>
    </row>
    <row r="184" spans="9:9">
      <c r="I184">
        <v>40</v>
      </c>
    </row>
  </sheetData>
  <sheetProtection password="C7C2" sheet="1" objects="1" scenario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Gravity</vt:lpstr>
      <vt:lpstr>IBU</vt:lpstr>
      <vt:lpstr>SRM</vt:lpstr>
      <vt:lpstr>Mash</vt:lpstr>
      <vt:lpstr>Sheet1</vt:lpstr>
    </vt:vector>
  </TitlesOfParts>
  <Company>Dewberry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Calculations</dc:title>
  <dc:subject>Beer Brewing</dc:subject>
  <dc:creator>J.W.Kent</dc:creator>
  <cp:lastModifiedBy>JKent</cp:lastModifiedBy>
  <cp:lastPrinted>2011-02-01T19:38:18Z</cp:lastPrinted>
  <dcterms:created xsi:type="dcterms:W3CDTF">2011-02-01T14:05:12Z</dcterms:created>
  <dcterms:modified xsi:type="dcterms:W3CDTF">2012-01-27T17:36:53Z</dcterms:modified>
</cp:coreProperties>
</file>