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workbookProtection lockStructure="1"/>
  <bookViews>
    <workbookView xWindow="3705" yWindow="-75" windowWidth="17760" windowHeight="8280" tabRatio="934" activeTab="4"/>
  </bookViews>
  <sheets>
    <sheet name="Main" sheetId="1" r:id="rId1"/>
    <sheet name="GrainBill" sheetId="2" r:id="rId2"/>
    <sheet name="HopSchedule" sheetId="3" r:id="rId3"/>
    <sheet name="Adjuncts" sheetId="4" r:id="rId4"/>
    <sheet name="Refractometer" sheetId="5" r:id="rId5"/>
    <sheet name="BatchAnalytics" sheetId="6" r:id="rId6"/>
    <sheet name="Catalog" sheetId="7" r:id="rId7"/>
    <sheet name="Constants" sheetId="8" state="hidden" r:id="rId8"/>
    <sheet name="Scratch" sheetId="10" state="hidden" r:id="rId9"/>
    <sheet name="Mash" sheetId="9" r:id="rId10"/>
  </sheets>
  <definedNames>
    <definedName name="_xlnm._FilterDatabase" localSheetId="9" hidden="1">Mash!$E$13:$E$13</definedName>
    <definedName name="Acid_List">Scratch!$I$6:$I$8</definedName>
    <definedName name="Adjucts">Catalog!$A$47</definedName>
    <definedName name="Adjunct_Table">Catalog!$A$47:$D$50</definedName>
    <definedName name="Adjunct_Total">Adjuncts!$H$14</definedName>
    <definedName name="Adjuncts">Catalog!$A$47:$A$50</definedName>
    <definedName name="Adjuncts_Table">Catalog!$A$47:$D$47</definedName>
    <definedName name="Batch_IBU">HopSchedule!$F$19</definedName>
    <definedName name="BrewhouseEfficiency">Constants!$B$5</definedName>
    <definedName name="BrewStart">HopSchedule!$I$3</definedName>
    <definedName name="CaCO3">Scratch!$J$3:$J$4</definedName>
    <definedName name="Carbo">Scratch!$J$7:$J$8</definedName>
    <definedName name="Grainbill_Total">GrainBill!$K$31</definedName>
    <definedName name="GrainGravity">GrainBill!$I$3:$I$30</definedName>
    <definedName name="GrainsAndMalts">Catalog!$A$2:$A$43</definedName>
    <definedName name="GrainsAndMalts_Table">Catalog!$A$2:$D$43</definedName>
    <definedName name="Hop_Total">HopSchedule!$N$19</definedName>
    <definedName name="Hop_Usage">Constants!$B$10:$B$12</definedName>
    <definedName name="Hops">Catalog!$A$54:$A$160</definedName>
    <definedName name="Hops_Table">Catalog!$A$54:$C$160</definedName>
    <definedName name="solver_eng" localSheetId="4" hidden="1">1</definedName>
    <definedName name="solver_neg" localSheetId="4" hidden="1">1</definedName>
    <definedName name="solver_num" localSheetId="4" hidden="1">0</definedName>
    <definedName name="solver_opt" localSheetId="4" hidden="1">Refractometer!$A$9</definedName>
    <definedName name="solver_typ" localSheetId="4" hidden="1">3</definedName>
    <definedName name="solver_val" localSheetId="4" hidden="1">0</definedName>
    <definedName name="solver_ver" localSheetId="4" hidden="1">3</definedName>
    <definedName name="Yeast">Catalog!$B$164:$B$165</definedName>
    <definedName name="Yeast_Table">Catalog!$A$164:$F$219</definedName>
    <definedName name="Yeasts">Catalog!$A$164:$A$219</definedName>
  </definedNames>
  <calcPr calcId="145621"/>
</workbook>
</file>

<file path=xl/calcChain.xml><?xml version="1.0" encoding="utf-8"?>
<calcChain xmlns="http://schemas.openxmlformats.org/spreadsheetml/2006/main">
  <c r="I5" i="3" l="1"/>
  <c r="I6" i="3"/>
  <c r="I7" i="3"/>
  <c r="I8" i="3"/>
  <c r="I9" i="3"/>
  <c r="I10" i="3"/>
  <c r="I11" i="3"/>
  <c r="I12" i="3"/>
  <c r="I13" i="3"/>
  <c r="I14" i="3"/>
  <c r="I15" i="3"/>
  <c r="I16" i="3"/>
  <c r="I17" i="3"/>
  <c r="I18" i="3"/>
  <c r="I4" i="3"/>
  <c r="A9" i="5" l="1"/>
  <c r="C14" i="1" l="1"/>
  <c r="F16" i="1" l="1"/>
  <c r="E16" i="1"/>
  <c r="C16" i="1"/>
  <c r="A16" i="1"/>
  <c r="F15" i="1"/>
  <c r="E15" i="1"/>
  <c r="C15" i="1"/>
  <c r="A15" i="1"/>
  <c r="F14" i="1"/>
  <c r="A14" i="1"/>
  <c r="C13" i="1"/>
  <c r="A13" i="1"/>
  <c r="C12" i="1"/>
  <c r="A12" i="1"/>
  <c r="C11" i="1"/>
  <c r="A11" i="1"/>
  <c r="B56" i="1" l="1"/>
  <c r="F56" i="1"/>
  <c r="E56" i="1"/>
  <c r="D56" i="1"/>
  <c r="C56" i="1"/>
  <c r="D26" i="1"/>
  <c r="D27" i="1"/>
  <c r="D28" i="1"/>
  <c r="D29" i="1"/>
  <c r="D30" i="1"/>
  <c r="D31" i="1"/>
  <c r="D32" i="1"/>
  <c r="D25" i="1"/>
  <c r="C26" i="1"/>
  <c r="C27" i="1"/>
  <c r="C28" i="1"/>
  <c r="C29" i="1"/>
  <c r="C30" i="1"/>
  <c r="C31" i="1"/>
  <c r="C32" i="1"/>
  <c r="C25" i="1"/>
  <c r="B32" i="1"/>
  <c r="A26" i="1"/>
  <c r="A27" i="1"/>
  <c r="A28" i="1"/>
  <c r="A29" i="1"/>
  <c r="A30" i="1"/>
  <c r="A31" i="1"/>
  <c r="A32" i="1"/>
  <c r="A25" i="1"/>
  <c r="D4" i="1"/>
  <c r="E4" i="1"/>
  <c r="F4" i="1"/>
  <c r="F5" i="1"/>
  <c r="E5" i="1"/>
  <c r="D5" i="1"/>
  <c r="B13" i="4"/>
  <c r="D13" i="4"/>
  <c r="E13" i="4"/>
  <c r="F13" i="4"/>
  <c r="G13" i="4"/>
  <c r="H13" i="4" s="1"/>
  <c r="D10" i="4"/>
  <c r="E10" i="4"/>
  <c r="F10" i="4"/>
  <c r="G10" i="4"/>
  <c r="H10" i="4" s="1"/>
  <c r="D11" i="4"/>
  <c r="E11" i="4"/>
  <c r="F11" i="4"/>
  <c r="G11" i="4"/>
  <c r="H11" i="4" s="1"/>
  <c r="D12" i="4"/>
  <c r="E12" i="4"/>
  <c r="F12" i="4"/>
  <c r="G12" i="4"/>
  <c r="H12" i="4" s="1"/>
  <c r="G9" i="4"/>
  <c r="H9" i="4" s="1"/>
  <c r="F9" i="4"/>
  <c r="E9" i="4"/>
  <c r="D9" i="4"/>
  <c r="B10" i="4"/>
  <c r="B11" i="4"/>
  <c r="B12" i="4"/>
  <c r="B9" i="4"/>
  <c r="G4" i="4"/>
  <c r="H4" i="4" s="1"/>
  <c r="G5" i="4"/>
  <c r="H5" i="4" s="1"/>
  <c r="G6" i="4"/>
  <c r="H6" i="4" s="1"/>
  <c r="D4" i="4"/>
  <c r="D5" i="4"/>
  <c r="D6" i="4"/>
  <c r="G3" i="4"/>
  <c r="D3" i="4"/>
  <c r="E3" i="4" s="1"/>
  <c r="D10" i="2"/>
  <c r="D11" i="2"/>
  <c r="D12" i="2"/>
  <c r="D13" i="2"/>
  <c r="D14" i="2"/>
  <c r="D15" i="2"/>
  <c r="D16" i="2"/>
  <c r="D17" i="2"/>
  <c r="D18" i="2"/>
  <c r="D19" i="2"/>
  <c r="D20" i="2"/>
  <c r="D21" i="2"/>
  <c r="D22" i="2"/>
  <c r="D23" i="2"/>
  <c r="D24" i="2"/>
  <c r="D25" i="2"/>
  <c r="D26" i="2"/>
  <c r="D27" i="2"/>
  <c r="D28" i="2"/>
  <c r="D29" i="2"/>
  <c r="D30" i="2"/>
  <c r="D7" i="2"/>
  <c r="D8" i="2"/>
  <c r="D9" i="2"/>
  <c r="C31" i="2"/>
  <c r="D5" i="2" s="1"/>
  <c r="E13" i="1" s="1"/>
  <c r="B3" i="4"/>
  <c r="F3" i="4" s="1"/>
  <c r="B4" i="4"/>
  <c r="B5" i="4"/>
  <c r="B6" i="4"/>
  <c r="E4" i="4"/>
  <c r="E5" i="4"/>
  <c r="E6" i="4"/>
  <c r="F4" i="4"/>
  <c r="F5" i="4"/>
  <c r="F6" i="4"/>
  <c r="C6" i="3"/>
  <c r="B28" i="1" s="1"/>
  <c r="F20" i="1"/>
  <c r="F21" i="1"/>
  <c r="F22" i="1"/>
  <c r="D20" i="1"/>
  <c r="D21" i="1"/>
  <c r="D22" i="1"/>
  <c r="F19" i="1"/>
  <c r="B19" i="1"/>
  <c r="D19" i="1"/>
  <c r="B20" i="1"/>
  <c r="B21" i="1"/>
  <c r="B22" i="1"/>
  <c r="A19" i="1"/>
  <c r="A20" i="1"/>
  <c r="A21" i="1"/>
  <c r="A22" i="1"/>
  <c r="C5" i="3"/>
  <c r="B27" i="1" s="1"/>
  <c r="J3" i="3"/>
  <c r="L3" i="3" s="1"/>
  <c r="A7" i="10"/>
  <c r="A6" i="10"/>
  <c r="B6" i="10" s="1"/>
  <c r="D14" i="10"/>
  <c r="D18" i="10"/>
  <c r="F31" i="10"/>
  <c r="F30" i="10"/>
  <c r="G30" i="10" s="1"/>
  <c r="F29" i="10"/>
  <c r="G29" i="10" s="1"/>
  <c r="F28" i="10"/>
  <c r="G28" i="10" s="1"/>
  <c r="H31" i="10"/>
  <c r="H28" i="10"/>
  <c r="C7" i="10"/>
  <c r="D7" i="10" s="1"/>
  <c r="B7" i="10"/>
  <c r="D12" i="10"/>
  <c r="D13" i="10" s="1"/>
  <c r="B8" i="10"/>
  <c r="C8" i="10"/>
  <c r="D8" i="10"/>
  <c r="E8" i="10" s="1"/>
  <c r="F8" i="10"/>
  <c r="H29" i="10"/>
  <c r="I31" i="10"/>
  <c r="G31" i="10"/>
  <c r="J31" i="10" s="1"/>
  <c r="H30" i="10"/>
  <c r="I30" i="10"/>
  <c r="I28" i="10"/>
  <c r="H29" i="9"/>
  <c r="G29" i="9"/>
  <c r="F29" i="9"/>
  <c r="E29" i="9"/>
  <c r="L29" i="9" s="1"/>
  <c r="E38" i="9" s="1"/>
  <c r="D29" i="9"/>
  <c r="K29" i="9" s="1"/>
  <c r="C29" i="9"/>
  <c r="E22" i="9"/>
  <c r="D22" i="9"/>
  <c r="H18" i="9"/>
  <c r="G18" i="9"/>
  <c r="F18" i="9"/>
  <c r="F38" i="9" s="1"/>
  <c r="E18" i="9"/>
  <c r="D18" i="9"/>
  <c r="D38" i="9"/>
  <c r="C18" i="9"/>
  <c r="C38" i="9"/>
  <c r="E17" i="9"/>
  <c r="O14" i="9"/>
  <c r="K14" i="9"/>
  <c r="L14" i="9"/>
  <c r="O10" i="9"/>
  <c r="K10" i="9"/>
  <c r="L10" i="9" s="1"/>
  <c r="E4" i="2"/>
  <c r="F4" i="2" s="1"/>
  <c r="G4" i="2"/>
  <c r="H4" i="2" s="1"/>
  <c r="I4" i="2" s="1"/>
  <c r="J4" i="2"/>
  <c r="K4" i="2" s="1"/>
  <c r="E5" i="2"/>
  <c r="F5" i="2" s="1"/>
  <c r="G5" i="2"/>
  <c r="J5" i="2"/>
  <c r="K5" i="2" s="1"/>
  <c r="E6" i="2"/>
  <c r="F6" i="2" s="1"/>
  <c r="G6" i="2"/>
  <c r="H6" i="2" s="1"/>
  <c r="I6" i="2" s="1"/>
  <c r="J6" i="2"/>
  <c r="K6" i="2" s="1"/>
  <c r="E7" i="2"/>
  <c r="F7" i="2" s="1"/>
  <c r="G7" i="2"/>
  <c r="H7" i="2" s="1"/>
  <c r="I7" i="2" s="1"/>
  <c r="J7" i="2"/>
  <c r="K7" i="2" s="1"/>
  <c r="E8" i="2"/>
  <c r="F8" i="2" s="1"/>
  <c r="G8" i="2"/>
  <c r="H8" i="2" s="1"/>
  <c r="I8" i="2" s="1"/>
  <c r="J8" i="2"/>
  <c r="K8" i="2" s="1"/>
  <c r="E9" i="2"/>
  <c r="F9" i="2" s="1"/>
  <c r="G9" i="2"/>
  <c r="H9" i="2" s="1"/>
  <c r="I9" i="2" s="1"/>
  <c r="J9" i="2"/>
  <c r="K9" i="2" s="1"/>
  <c r="E10" i="2"/>
  <c r="F10" i="2" s="1"/>
  <c r="G10" i="2"/>
  <c r="H10" i="2" s="1"/>
  <c r="I10" i="2" s="1"/>
  <c r="J10" i="2"/>
  <c r="K10" i="2" s="1"/>
  <c r="E11" i="2"/>
  <c r="F11" i="2" s="1"/>
  <c r="G11" i="2"/>
  <c r="H11" i="2" s="1"/>
  <c r="I11" i="2" s="1"/>
  <c r="J11" i="2"/>
  <c r="K11" i="2" s="1"/>
  <c r="E12" i="2"/>
  <c r="F12" i="2" s="1"/>
  <c r="G12" i="2"/>
  <c r="H12" i="2" s="1"/>
  <c r="I12" i="2" s="1"/>
  <c r="J12" i="2"/>
  <c r="K12" i="2" s="1"/>
  <c r="E13" i="2"/>
  <c r="F13" i="2" s="1"/>
  <c r="G13" i="2"/>
  <c r="H13" i="2" s="1"/>
  <c r="I13" i="2" s="1"/>
  <c r="J13" i="2"/>
  <c r="K13" i="2" s="1"/>
  <c r="E14" i="2"/>
  <c r="F14" i="2" s="1"/>
  <c r="G14" i="2"/>
  <c r="H14" i="2" s="1"/>
  <c r="I14" i="2" s="1"/>
  <c r="J14" i="2"/>
  <c r="K14" i="2" s="1"/>
  <c r="E15" i="2"/>
  <c r="F15" i="2" s="1"/>
  <c r="G15" i="2"/>
  <c r="H15" i="2" s="1"/>
  <c r="I15" i="2" s="1"/>
  <c r="J15" i="2"/>
  <c r="K15" i="2" s="1"/>
  <c r="E16" i="2"/>
  <c r="F16" i="2" s="1"/>
  <c r="G16" i="2"/>
  <c r="H16" i="2" s="1"/>
  <c r="I16" i="2" s="1"/>
  <c r="J16" i="2"/>
  <c r="K16" i="2" s="1"/>
  <c r="E17" i="2"/>
  <c r="F17" i="2" s="1"/>
  <c r="G17" i="2"/>
  <c r="H17" i="2" s="1"/>
  <c r="I17" i="2" s="1"/>
  <c r="J17" i="2"/>
  <c r="K17" i="2" s="1"/>
  <c r="E18" i="2"/>
  <c r="F18" i="2" s="1"/>
  <c r="G18" i="2"/>
  <c r="H18" i="2" s="1"/>
  <c r="I18" i="2" s="1"/>
  <c r="J18" i="2"/>
  <c r="K18" i="2" s="1"/>
  <c r="E19" i="2"/>
  <c r="F19" i="2" s="1"/>
  <c r="G19" i="2"/>
  <c r="H19" i="2" s="1"/>
  <c r="I19" i="2" s="1"/>
  <c r="J19" i="2"/>
  <c r="K19" i="2" s="1"/>
  <c r="E20" i="2"/>
  <c r="F20" i="2" s="1"/>
  <c r="G20" i="2"/>
  <c r="H20" i="2" s="1"/>
  <c r="I20" i="2" s="1"/>
  <c r="J20" i="2"/>
  <c r="K20" i="2" s="1"/>
  <c r="E21" i="2"/>
  <c r="F21" i="2" s="1"/>
  <c r="G21" i="2"/>
  <c r="H21" i="2" s="1"/>
  <c r="I21" i="2" s="1"/>
  <c r="J21" i="2"/>
  <c r="K21" i="2" s="1"/>
  <c r="E22" i="2"/>
  <c r="F22" i="2" s="1"/>
  <c r="G22" i="2"/>
  <c r="H22" i="2" s="1"/>
  <c r="I22" i="2" s="1"/>
  <c r="J22" i="2"/>
  <c r="K22" i="2" s="1"/>
  <c r="E23" i="2"/>
  <c r="F23" i="2" s="1"/>
  <c r="G23" i="2"/>
  <c r="H23" i="2" s="1"/>
  <c r="I23" i="2" s="1"/>
  <c r="J23" i="2"/>
  <c r="K23" i="2" s="1"/>
  <c r="E24" i="2"/>
  <c r="F24" i="2" s="1"/>
  <c r="G24" i="2"/>
  <c r="H24" i="2" s="1"/>
  <c r="I24" i="2" s="1"/>
  <c r="J24" i="2"/>
  <c r="K24" i="2" s="1"/>
  <c r="E25" i="2"/>
  <c r="F25" i="2" s="1"/>
  <c r="G25" i="2"/>
  <c r="H25" i="2" s="1"/>
  <c r="I25" i="2" s="1"/>
  <c r="J25" i="2"/>
  <c r="K25" i="2" s="1"/>
  <c r="E26" i="2"/>
  <c r="F26" i="2" s="1"/>
  <c r="G26" i="2"/>
  <c r="H26" i="2" s="1"/>
  <c r="I26" i="2" s="1"/>
  <c r="J26" i="2"/>
  <c r="K26" i="2" s="1"/>
  <c r="E27" i="2"/>
  <c r="F27" i="2" s="1"/>
  <c r="G27" i="2"/>
  <c r="H27" i="2" s="1"/>
  <c r="I27" i="2" s="1"/>
  <c r="J27" i="2"/>
  <c r="K27" i="2" s="1"/>
  <c r="E28" i="2"/>
  <c r="F28" i="2" s="1"/>
  <c r="G28" i="2"/>
  <c r="H28" i="2" s="1"/>
  <c r="I28" i="2" s="1"/>
  <c r="J28" i="2"/>
  <c r="K28" i="2" s="1"/>
  <c r="E29" i="2"/>
  <c r="F29" i="2" s="1"/>
  <c r="G29" i="2"/>
  <c r="H29" i="2" s="1"/>
  <c r="I29" i="2" s="1"/>
  <c r="J29" i="2"/>
  <c r="K29" i="2" s="1"/>
  <c r="E30" i="2"/>
  <c r="F30" i="2" s="1"/>
  <c r="G30" i="2"/>
  <c r="H30" i="2" s="1"/>
  <c r="I30" i="2" s="1"/>
  <c r="J30" i="2"/>
  <c r="K30" i="2" s="1"/>
  <c r="J3" i="2"/>
  <c r="K3" i="2" s="1"/>
  <c r="G3" i="2"/>
  <c r="H3" i="2" s="1"/>
  <c r="I3" i="2" s="1"/>
  <c r="E3" i="2"/>
  <c r="M4" i="3"/>
  <c r="N4" i="3" s="1"/>
  <c r="M6" i="3"/>
  <c r="N6" i="3" s="1"/>
  <c r="M7" i="3"/>
  <c r="M8" i="3"/>
  <c r="N8" i="3" s="1"/>
  <c r="M10" i="3"/>
  <c r="N10" i="3" s="1"/>
  <c r="M11" i="3"/>
  <c r="N11" i="3" s="1"/>
  <c r="M12" i="3"/>
  <c r="N12" i="3" s="1"/>
  <c r="M13" i="3"/>
  <c r="N13" i="3" s="1"/>
  <c r="M14" i="3"/>
  <c r="N14" i="3" s="1"/>
  <c r="M15" i="3"/>
  <c r="M16" i="3"/>
  <c r="N16" i="3" s="1"/>
  <c r="M17" i="3"/>
  <c r="N17" i="3" s="1"/>
  <c r="M18" i="3"/>
  <c r="N18" i="3" s="1"/>
  <c r="L10" i="3"/>
  <c r="L11" i="3"/>
  <c r="L12" i="3"/>
  <c r="L13" i="3"/>
  <c r="L14" i="3"/>
  <c r="L15" i="3"/>
  <c r="L16" i="3"/>
  <c r="L17" i="3"/>
  <c r="L18" i="3"/>
  <c r="J10" i="3"/>
  <c r="J11" i="3"/>
  <c r="J12" i="3"/>
  <c r="J13" i="3"/>
  <c r="J14" i="3"/>
  <c r="J15" i="3"/>
  <c r="J16" i="3"/>
  <c r="J17" i="3"/>
  <c r="J18" i="3"/>
  <c r="C4" i="3"/>
  <c r="G4" i="3" s="1"/>
  <c r="G5" i="3"/>
  <c r="G6" i="3"/>
  <c r="C7" i="3"/>
  <c r="G7" i="3" s="1"/>
  <c r="C8" i="3"/>
  <c r="G8" i="3" s="1"/>
  <c r="C9" i="3"/>
  <c r="G9" i="3" s="1"/>
  <c r="C10" i="3"/>
  <c r="G10" i="3" s="1"/>
  <c r="C11" i="3"/>
  <c r="G11" i="3" s="1"/>
  <c r="C12" i="3"/>
  <c r="G12" i="3" s="1"/>
  <c r="C13" i="3"/>
  <c r="G13" i="3" s="1"/>
  <c r="C14" i="3"/>
  <c r="G14" i="3" s="1"/>
  <c r="C15" i="3"/>
  <c r="G15" i="3" s="1"/>
  <c r="C16" i="3"/>
  <c r="G16" i="3" s="1"/>
  <c r="C17" i="3"/>
  <c r="G17" i="3" s="1"/>
  <c r="C18" i="3"/>
  <c r="G18" i="3" s="1"/>
  <c r="C3" i="3"/>
  <c r="B25" i="1" s="1"/>
  <c r="L2" i="4"/>
  <c r="M2" i="4"/>
  <c r="N2" i="4"/>
  <c r="O2" i="4"/>
  <c r="P2" i="4"/>
  <c r="H3" i="4"/>
  <c r="L3" i="4"/>
  <c r="N3" i="4"/>
  <c r="L4" i="4"/>
  <c r="N4" i="4"/>
  <c r="L5" i="4"/>
  <c r="M5" i="4"/>
  <c r="N5" i="4"/>
  <c r="L6" i="4"/>
  <c r="N6" i="4"/>
  <c r="O6" i="4"/>
  <c r="L7" i="4"/>
  <c r="L8" i="4"/>
  <c r="F3" i="6"/>
  <c r="B66" i="7"/>
  <c r="M5" i="3" s="1"/>
  <c r="N5" i="3" s="1"/>
  <c r="B67" i="7"/>
  <c r="M9" i="3" s="1"/>
  <c r="N9" i="3" s="1"/>
  <c r="B120" i="7"/>
  <c r="M2" i="2"/>
  <c r="N2" i="2"/>
  <c r="O2" i="2"/>
  <c r="P2" i="2"/>
  <c r="Q2" i="2"/>
  <c r="M3" i="2"/>
  <c r="O3" i="2"/>
  <c r="M4" i="2"/>
  <c r="O4" i="2"/>
  <c r="M5" i="2"/>
  <c r="N5" i="2"/>
  <c r="O5" i="2"/>
  <c r="M6" i="2"/>
  <c r="O6" i="2"/>
  <c r="P6" i="2"/>
  <c r="M7" i="2"/>
  <c r="M8" i="2"/>
  <c r="J5" i="3"/>
  <c r="L5" i="3" s="1"/>
  <c r="J6" i="3"/>
  <c r="L6" i="3" s="1"/>
  <c r="J7" i="3"/>
  <c r="L7" i="3" s="1"/>
  <c r="N7" i="3"/>
  <c r="J8" i="3"/>
  <c r="L8" i="3" s="1"/>
  <c r="J9" i="3"/>
  <c r="L9" i="3" s="1"/>
  <c r="N15" i="3"/>
  <c r="A3" i="5"/>
  <c r="C40" i="1" s="1"/>
  <c r="C41" i="1"/>
  <c r="C12" i="5"/>
  <c r="C13" i="5"/>
  <c r="C14" i="5"/>
  <c r="C15" i="5"/>
  <c r="C16" i="5"/>
  <c r="C17" i="5"/>
  <c r="C18" i="5"/>
  <c r="K38" i="9"/>
  <c r="O18" i="9"/>
  <c r="M14" i="9"/>
  <c r="K18" i="9"/>
  <c r="L18" i="9"/>
  <c r="H5" i="2"/>
  <c r="I5" i="2" s="1"/>
  <c r="C7" i="9"/>
  <c r="D7" i="9"/>
  <c r="B22" i="9" s="1"/>
  <c r="I22" i="9" s="1"/>
  <c r="C42" i="1" l="1"/>
  <c r="C45" i="1" s="1"/>
  <c r="F61" i="1" s="1"/>
  <c r="M10" i="9"/>
  <c r="N10" i="9"/>
  <c r="E7" i="10"/>
  <c r="D19" i="10" s="1"/>
  <c r="F7" i="10"/>
  <c r="D20" i="10" s="1"/>
  <c r="G7" i="10"/>
  <c r="D21" i="10" s="1"/>
  <c r="N31" i="10"/>
  <c r="K31" i="10"/>
  <c r="L31" i="10" s="1"/>
  <c r="N18" i="9"/>
  <c r="L38" i="9"/>
  <c r="G8" i="10"/>
  <c r="M31" i="10"/>
  <c r="N14" i="9"/>
  <c r="M3" i="3"/>
  <c r="N3" i="3" s="1"/>
  <c r="F11" i="1"/>
  <c r="F3" i="2"/>
  <c r="B43" i="1" s="1"/>
  <c r="B31" i="1"/>
  <c r="B29" i="1"/>
  <c r="A4" i="5"/>
  <c r="B30" i="1"/>
  <c r="B26" i="1"/>
  <c r="F12" i="1"/>
  <c r="F13" i="1"/>
  <c r="H38" i="9"/>
  <c r="B3" i="6"/>
  <c r="H14" i="4"/>
  <c r="B2" i="6" s="1"/>
  <c r="D31" i="2"/>
  <c r="D3" i="2"/>
  <c r="E11" i="1" s="1"/>
  <c r="D6" i="2"/>
  <c r="E14" i="1" s="1"/>
  <c r="D4" i="2"/>
  <c r="E12" i="1" s="1"/>
  <c r="J4" i="3"/>
  <c r="L4" i="3" s="1"/>
  <c r="K31" i="2"/>
  <c r="B1" i="6" s="1"/>
  <c r="F42" i="1"/>
  <c r="B41" i="1"/>
  <c r="B40" i="1"/>
  <c r="F43" i="1"/>
  <c r="C55" i="1"/>
  <c r="N19" i="3"/>
  <c r="B4" i="6" s="1"/>
  <c r="G3" i="3"/>
  <c r="H22" i="9"/>
  <c r="C6" i="10"/>
  <c r="J30" i="10"/>
  <c r="K30" i="10" s="1"/>
  <c r="L30" i="10" s="1"/>
  <c r="I29" i="10"/>
  <c r="J29" i="10" s="1"/>
  <c r="J28" i="10"/>
  <c r="K28" i="10" s="1"/>
  <c r="L28" i="10" s="1"/>
  <c r="F22" i="9"/>
  <c r="D33" i="9" s="1"/>
  <c r="M18" i="9"/>
  <c r="M38" i="9"/>
  <c r="N38" i="9"/>
  <c r="G22" i="9"/>
  <c r="D61" i="1" l="1"/>
  <c r="H5" i="3"/>
  <c r="H7" i="3"/>
  <c r="F7" i="3" s="1"/>
  <c r="E29" i="1" s="1"/>
  <c r="H9" i="3"/>
  <c r="H11" i="3"/>
  <c r="H13" i="3"/>
  <c r="H15" i="3"/>
  <c r="F15" i="3" s="1"/>
  <c r="H17" i="3"/>
  <c r="H3" i="3"/>
  <c r="H4" i="3"/>
  <c r="H6" i="3"/>
  <c r="F6" i="3" s="1"/>
  <c r="E28" i="1" s="1"/>
  <c r="H8" i="3"/>
  <c r="H10" i="3"/>
  <c r="H12" i="3"/>
  <c r="H14" i="3"/>
  <c r="H16" i="3"/>
  <c r="H18" i="3"/>
  <c r="K29" i="10"/>
  <c r="L29" i="10" s="1"/>
  <c r="N29" i="10"/>
  <c r="D6" i="10"/>
  <c r="E6" i="10" s="1"/>
  <c r="N28" i="10"/>
  <c r="N30" i="10"/>
  <c r="D34" i="9"/>
  <c r="O31" i="10"/>
  <c r="B5" i="6"/>
  <c r="B7" i="6" s="1"/>
  <c r="B13" i="6" s="1"/>
  <c r="D13" i="6" s="1"/>
  <c r="E61" i="1"/>
  <c r="C61" i="1"/>
  <c r="B61" i="1"/>
  <c r="B55" i="1"/>
  <c r="M6" i="4"/>
  <c r="F55" i="1"/>
  <c r="N6" i="2"/>
  <c r="D55" i="1"/>
  <c r="E55" i="1"/>
  <c r="M3" i="4"/>
  <c r="N3" i="2"/>
  <c r="P5" i="4"/>
  <c r="F40" i="1"/>
  <c r="F41" i="1"/>
  <c r="Q5" i="2"/>
  <c r="P6" i="4"/>
  <c r="Q6" i="2"/>
  <c r="F18" i="3"/>
  <c r="F4" i="3"/>
  <c r="E26" i="1" s="1"/>
  <c r="F14" i="3"/>
  <c r="F9" i="3"/>
  <c r="E31" i="1" s="1"/>
  <c r="F8" i="3"/>
  <c r="E30" i="1" s="1"/>
  <c r="B45" i="1"/>
  <c r="F10" i="3"/>
  <c r="E32" i="1" s="1"/>
  <c r="F11" i="3"/>
  <c r="N4" i="2"/>
  <c r="F12" i="3"/>
  <c r="F5" i="3"/>
  <c r="E27" i="1" s="1"/>
  <c r="F17" i="3"/>
  <c r="F3" i="3"/>
  <c r="E25" i="1" s="1"/>
  <c r="F16" i="3"/>
  <c r="M4" i="4"/>
  <c r="F13" i="3"/>
  <c r="G38" i="9"/>
  <c r="O38" i="9" s="1"/>
  <c r="F6" i="10"/>
  <c r="D16" i="10" s="1"/>
  <c r="D15" i="10"/>
  <c r="O30" i="10"/>
  <c r="M30" i="10"/>
  <c r="M29" i="10"/>
  <c r="O29" i="10" s="1"/>
  <c r="M28" i="10"/>
  <c r="O28" i="10" s="1"/>
  <c r="G6" i="10" l="1"/>
  <c r="B12" i="6"/>
  <c r="D12" i="6" s="1"/>
  <c r="G3" i="6"/>
  <c r="B8" i="6"/>
  <c r="B11" i="6" s="1"/>
  <c r="D11" i="6" s="1"/>
  <c r="B44" i="1"/>
  <c r="F19" i="3"/>
  <c r="Q4" i="2"/>
  <c r="P4" i="4"/>
  <c r="C60" i="1"/>
  <c r="D60" i="1"/>
  <c r="M8" i="4"/>
  <c r="N8" i="2"/>
  <c r="B60" i="1"/>
  <c r="F60" i="1"/>
  <c r="E60" i="1"/>
  <c r="B50" i="1"/>
  <c r="P3" i="4"/>
  <c r="C50" i="1"/>
  <c r="Q3" i="2"/>
  <c r="F50" i="1"/>
  <c r="E50" i="1"/>
  <c r="D50" i="1"/>
  <c r="D17" i="10" l="1"/>
  <c r="D22" i="10"/>
  <c r="D23" i="10" s="1"/>
  <c r="M7" i="4"/>
  <c r="N7" i="2"/>
  <c r="P31" i="10" l="1"/>
  <c r="P28" i="10"/>
  <c r="D46" i="9" s="1"/>
  <c r="P30" i="10"/>
  <c r="D47" i="9" s="1"/>
  <c r="P29" i="10"/>
</calcChain>
</file>

<file path=xl/comments1.xml><?xml version="1.0" encoding="utf-8"?>
<comments xmlns="http://schemas.openxmlformats.org/spreadsheetml/2006/main">
  <authors>
    <author>John Palmer</author>
    <author>The Palmers</author>
    <author>3M</author>
  </authors>
  <commentList>
    <comment ref="B1" authorId="0">
      <text>
        <r>
          <rPr>
            <b/>
            <sz val="8"/>
            <color indexed="81"/>
            <rFont val="Tahoma"/>
            <family val="2"/>
          </rPr>
          <t>John Palmer:</t>
        </r>
        <r>
          <rPr>
            <sz val="8"/>
            <color indexed="81"/>
            <rFont val="Tahoma"/>
            <family val="2"/>
          </rPr>
          <t xml:space="preserve">
Changes from V1: Version 1 contained an error where final Residual Alkalinity was not calculated correctly if "Bicarbonate" was selected. Other conversion errors were corrected as well. My apologies. - John Palmer 04/03/08
2.1: Danny Williams found an error in the dilution contribution.
04/07/2008
2.2: Soren Tygesen found an error in Step 8. 
2.3 Fixed address error in cell L11. Added condtional formating to RA results cells if RA exceeds 300ppm.
2.4: Added Chloride to Sulfate Ratio to indicate flavor balance.</t>
        </r>
      </text>
    </comment>
    <comment ref="B6" authorId="1">
      <text>
        <r>
          <rPr>
            <b/>
            <sz val="9"/>
            <color indexed="81"/>
            <rFont val="Verdana"/>
            <family val="2"/>
          </rPr>
          <t>Target RA Estimator:</t>
        </r>
        <r>
          <rPr>
            <sz val="9"/>
            <color indexed="81"/>
            <rFont val="Verdana"/>
            <family val="2"/>
          </rPr>
          <t xml:space="preserve">
Enter the color of the beer that you would like to brew. A range of suitable RA will be calculated. Use the High end if the beer contains a lot of roasted malt, and the low end if the color comes from Crystal or toasted malts.</t>
        </r>
      </text>
    </comment>
    <comment ref="B9" authorId="2">
      <text>
        <r>
          <rPr>
            <b/>
            <sz val="9"/>
            <color indexed="81"/>
            <rFont val="Arial"/>
            <family val="2"/>
          </rPr>
          <t>Target Water Profile:</t>
        </r>
        <r>
          <rPr>
            <sz val="9"/>
            <color indexed="81"/>
            <rFont val="Arial"/>
            <family val="2"/>
          </rPr>
          <t xml:space="preserve">
Input the mineral profile for a brewing city you are trying to copy. The residual alkalinity for the profile will be calculated. A range of suggested beer color appropriate to this RA is also calculated.</t>
        </r>
      </text>
    </comment>
    <comment ref="E9" authorId="0">
      <text>
        <r>
          <rPr>
            <b/>
            <sz val="8"/>
            <color indexed="81"/>
            <rFont val="Tahoma"/>
            <family val="2"/>
          </rPr>
          <t xml:space="preserve">Click to Select: </t>
        </r>
        <r>
          <rPr>
            <sz val="8"/>
            <color indexed="81"/>
            <rFont val="Tahoma"/>
            <family val="2"/>
          </rPr>
          <t>Alkalinity as CaCO3 or Bicarbonate</t>
        </r>
        <r>
          <rPr>
            <sz val="8"/>
            <color indexed="81"/>
            <rFont val="Tahoma"/>
            <family val="2"/>
          </rPr>
          <t xml:space="preserve">
</t>
        </r>
      </text>
    </comment>
    <comment ref="B13" authorId="2">
      <text>
        <r>
          <rPr>
            <b/>
            <sz val="9"/>
            <color indexed="81"/>
            <rFont val="Arial"/>
            <family val="2"/>
          </rPr>
          <t>Source Water:</t>
        </r>
        <r>
          <rPr>
            <sz val="9"/>
            <color indexed="81"/>
            <rFont val="Arial"/>
            <family val="2"/>
          </rPr>
          <t xml:space="preserve">
Input the mineral profile for your brewing source water. The residual alkalinity and estimated beer color range will be calculated.</t>
        </r>
      </text>
    </comment>
    <comment ref="B17" authorId="2">
      <text>
        <r>
          <rPr>
            <b/>
            <sz val="9"/>
            <color indexed="81"/>
            <rFont val="Arial"/>
            <family val="2"/>
          </rPr>
          <t>Dilute with Distilled Water:</t>
        </r>
        <r>
          <rPr>
            <sz val="9"/>
            <color indexed="81"/>
            <rFont val="Arial"/>
            <family val="2"/>
          </rPr>
          <t xml:space="preserve">
Example: 10% dilution would be 1 part distilled to 9 parts tap water.</t>
        </r>
      </text>
    </comment>
    <comment ref="B21" authorId="2">
      <text>
        <r>
          <rPr>
            <b/>
            <sz val="9"/>
            <color indexed="81"/>
            <rFont val="Tahoma"/>
            <family val="2"/>
          </rPr>
          <t>Target Residual Alkalinity:</t>
        </r>
        <r>
          <rPr>
            <sz val="9"/>
            <color indexed="81"/>
            <rFont val="Tahoma"/>
            <family val="2"/>
          </rPr>
          <t xml:space="preserve">
Enter the RA corresponding to the color of the beer you would like to target here. See Nomograph for colors. The boxes at right will display the additional Hardness or Alkalinity necessary to achieve it. </t>
        </r>
      </text>
    </comment>
    <comment ref="C21" authorId="2">
      <text>
        <r>
          <rPr>
            <b/>
            <sz val="9"/>
            <color indexed="81"/>
            <rFont val="Arial"/>
            <family val="2"/>
          </rPr>
          <t>Water Volume:</t>
        </r>
        <r>
          <rPr>
            <sz val="9"/>
            <color indexed="81"/>
            <rFont val="Arial"/>
            <family val="2"/>
          </rPr>
          <t xml:space="preserve">
You need to consider the mash water and sparge water seperately. Some salts will dissolve into the brewing water, like gypsum, but CaCO3 will not dissolve except in the mash, so any CaCO3 additions should be calculated separately using just the mash water volume.</t>
        </r>
      </text>
    </comment>
    <comment ref="B25" authorId="2">
      <text>
        <r>
          <rPr>
            <b/>
            <sz val="9"/>
            <color indexed="81"/>
            <rFont val="Arial"/>
            <family val="2"/>
          </rPr>
          <t>Salt Additions:</t>
        </r>
        <r>
          <rPr>
            <sz val="9"/>
            <color indexed="81"/>
            <rFont val="Arial"/>
            <family val="2"/>
          </rPr>
          <t xml:space="preserve">
To achieve a target mash pH or to enhance the flavor of a beer, enter the additions of each salt here in grams.</t>
        </r>
      </text>
    </comment>
    <comment ref="B28" authorId="2">
      <text>
        <r>
          <rPr>
            <b/>
            <sz val="9"/>
            <color indexed="81"/>
            <rFont val="Arial"/>
            <family val="2"/>
          </rPr>
          <t>Ion Contributions:</t>
        </r>
        <r>
          <rPr>
            <sz val="9"/>
            <color indexed="81"/>
            <rFont val="Arial"/>
            <family val="2"/>
          </rPr>
          <t xml:space="preserve">
The ion contributions per gallon for the salt additions you input above are calculated here. The Contributed Hardness and Alkalinity boxes at right can be checked to see when you have added enough (re. the Needed boxes above).</t>
        </r>
      </text>
    </comment>
    <comment ref="C32" authorId="0">
      <text>
        <r>
          <rPr>
            <b/>
            <sz val="8"/>
            <color indexed="81"/>
            <rFont val="Tahoma"/>
            <family val="2"/>
          </rPr>
          <t>Concentration:</t>
        </r>
        <r>
          <rPr>
            <sz val="8"/>
            <color indexed="81"/>
            <rFont val="Tahoma"/>
            <family val="2"/>
          </rPr>
          <t xml:space="preserve">
You can adjust the concentration of the acids here.</t>
        </r>
      </text>
    </comment>
    <comment ref="B42" authorId="1">
      <text>
        <r>
          <rPr>
            <b/>
            <sz val="9"/>
            <color indexed="81"/>
            <rFont val="Verdana"/>
            <family val="2"/>
          </rPr>
          <t>Measure Water pH:</t>
        </r>
        <r>
          <rPr>
            <sz val="9"/>
            <color indexed="81"/>
            <rFont val="Verdana"/>
            <family val="2"/>
          </rPr>
          <t xml:space="preserve">
You MUST measure the pH of the water you want to adjust.</t>
        </r>
      </text>
    </comment>
    <comment ref="C43" authorId="1">
      <text>
        <r>
          <rPr>
            <b/>
            <sz val="9"/>
            <color indexed="81"/>
            <rFont val="Verdana"/>
            <family val="2"/>
          </rPr>
          <t>Target Sparge water pH:</t>
        </r>
        <r>
          <rPr>
            <sz val="9"/>
            <color indexed="81"/>
            <rFont val="Verdana"/>
            <family val="2"/>
          </rPr>
          <t xml:space="preserve">
I recommend keeping this at 7 or 6; it doesn't need to be lower.</t>
        </r>
      </text>
    </comment>
    <comment ref="C46" authorId="1">
      <text>
        <r>
          <rPr>
            <b/>
            <sz val="9"/>
            <color indexed="81"/>
            <rFont val="Verdana"/>
            <family val="2"/>
          </rPr>
          <t>Hydrochloric w/w%:</t>
        </r>
        <r>
          <rPr>
            <sz val="9"/>
            <color indexed="81"/>
            <rFont val="Verdana"/>
            <family val="2"/>
          </rPr>
          <t xml:space="preserve">
You can input the bottle concentration here.</t>
        </r>
      </text>
    </comment>
    <comment ref="C47" authorId="1">
      <text>
        <r>
          <rPr>
            <b/>
            <sz val="9"/>
            <color indexed="81"/>
            <rFont val="Verdana"/>
            <family val="2"/>
          </rPr>
          <t>Lactic w/w%:</t>
        </r>
        <r>
          <rPr>
            <sz val="9"/>
            <color indexed="81"/>
            <rFont val="Verdana"/>
            <family val="2"/>
          </rPr>
          <t xml:space="preserve">
typically 80- 88%.</t>
        </r>
      </text>
    </comment>
  </commentList>
</comments>
</file>

<file path=xl/sharedStrings.xml><?xml version="1.0" encoding="utf-8"?>
<sst xmlns="http://schemas.openxmlformats.org/spreadsheetml/2006/main" count="792" uniqueCount="514">
  <si>
    <t>Batch Description</t>
  </si>
  <si>
    <t>Beer Type</t>
  </si>
  <si>
    <t>Beer Recipe Name</t>
  </si>
  <si>
    <t>Yeast Type</t>
  </si>
  <si>
    <t>Boil Size (gal)</t>
  </si>
  <si>
    <t>Batch Size (gal)</t>
  </si>
  <si>
    <t>Mash temperature (F)</t>
  </si>
  <si>
    <t>Grains and Malts</t>
  </si>
  <si>
    <t>Name</t>
  </si>
  <si>
    <t>Unit Gravity</t>
  </si>
  <si>
    <t>Amount (lbs)</t>
  </si>
  <si>
    <t>SRMg (Grain)</t>
  </si>
  <si>
    <t>Post Boil Fermentable Sugar Adjuncts</t>
  </si>
  <si>
    <t>Non-Fermentable Sugar Adjuncts</t>
  </si>
  <si>
    <t>Hops Type</t>
  </si>
  <si>
    <t>Alpha Acid Content</t>
  </si>
  <si>
    <t>Amount (oz)</t>
  </si>
  <si>
    <t>Boil Time</t>
  </si>
  <si>
    <t>IBU Contribution</t>
  </si>
  <si>
    <t>Other Adjuncts</t>
  </si>
  <si>
    <t>Name of Adjunct</t>
  </si>
  <si>
    <t>Key Parameters</t>
  </si>
  <si>
    <t>Measured</t>
  </si>
  <si>
    <t>Est. Sugar Composition</t>
  </si>
  <si>
    <t>Boil Gravity</t>
  </si>
  <si>
    <t>Dextrose</t>
  </si>
  <si>
    <t>SGs</t>
  </si>
  <si>
    <t>Maltose</t>
  </si>
  <si>
    <t>SGf</t>
  </si>
  <si>
    <t>Simple Sugars</t>
  </si>
  <si>
    <t>SRMb</t>
  </si>
  <si>
    <t>Other Non-Fermentable Sugars</t>
  </si>
  <si>
    <t>IBU</t>
  </si>
  <si>
    <t>% ABV (Miller)</t>
  </si>
  <si>
    <t>Dry</t>
  </si>
  <si>
    <t>Semi-Dry</t>
  </si>
  <si>
    <t>Natural</t>
  </si>
  <si>
    <t>Semi-Sweet</t>
  </si>
  <si>
    <t>Sweet</t>
  </si>
  <si>
    <t>Expected / Calculated</t>
  </si>
  <si>
    <t>Actual</t>
  </si>
  <si>
    <t>Color</t>
  </si>
  <si>
    <t>Clear</t>
  </si>
  <si>
    <t>Light</t>
  </si>
  <si>
    <t>Amber</t>
  </si>
  <si>
    <t>Brown/Red</t>
  </si>
  <si>
    <t>Dark</t>
  </si>
  <si>
    <t>Alcohol Content</t>
  </si>
  <si>
    <t>Very Light</t>
  </si>
  <si>
    <t>Normal</t>
  </si>
  <si>
    <t>Strong</t>
  </si>
  <si>
    <t>Very Strong</t>
  </si>
  <si>
    <t>Line</t>
  </si>
  <si>
    <t>SRMext</t>
  </si>
  <si>
    <t>Gravity Yield</t>
  </si>
  <si>
    <t>Gravity</t>
  </si>
  <si>
    <t>price / lb</t>
  </si>
  <si>
    <t>ext</t>
  </si>
  <si>
    <t>Pale Malt, Belgian</t>
  </si>
  <si>
    <t>Carastan (Crystal), 15</t>
  </si>
  <si>
    <t>Wheat Malt (GWM)</t>
  </si>
  <si>
    <t>American 2-Row Barley</t>
  </si>
  <si>
    <t>Total</t>
  </si>
  <si>
    <t>AAU</t>
  </si>
  <si>
    <t>Utilization</t>
  </si>
  <si>
    <t>Scheduled Addition Time</t>
  </si>
  <si>
    <t>Action</t>
  </si>
  <si>
    <t>Completed</t>
  </si>
  <si>
    <t>Status</t>
  </si>
  <si>
    <t>price / oz</t>
  </si>
  <si>
    <t>Centennial</t>
  </si>
  <si>
    <t>Saaz (U.S.)</t>
  </si>
  <si>
    <t>Cascade (U.S.)</t>
  </si>
  <si>
    <t>Total IBU</t>
  </si>
  <si>
    <t>SRMg</t>
  </si>
  <si>
    <t>Corn Sugar</t>
  </si>
  <si>
    <t>Actual Post Boil Reading</t>
  </si>
  <si>
    <t>Enter Post Boil Reading</t>
  </si>
  <si>
    <t>Post Boil O.G</t>
  </si>
  <si>
    <t>Synthetic O.G. based on adjunct addition post boil.</t>
  </si>
  <si>
    <t>Corrected for After Pitch Sugar Addition</t>
  </si>
  <si>
    <t>O.G. (Original Specific Gravity)</t>
  </si>
  <si>
    <t>Refract Reading</t>
  </si>
  <si>
    <r>
      <t>Temp  (in F) If</t>
    </r>
    <r>
      <rPr>
        <b/>
        <sz val="10"/>
        <rFont val="Verdana"/>
        <family val="2"/>
      </rPr>
      <t xml:space="preserve"> NON ATC</t>
    </r>
  </si>
  <si>
    <t>F.G. (Adjusted for Alc and Temp)</t>
  </si>
  <si>
    <t>Date</t>
  </si>
  <si>
    <t>Notes</t>
  </si>
  <si>
    <t>Target Reading</t>
  </si>
  <si>
    <t>Grainbill Expense</t>
  </si>
  <si>
    <t>batch price]</t>
  </si>
  <si>
    <t>Batch Profit</t>
  </si>
  <si>
    <t>Adjunct Expense</t>
  </si>
  <si>
    <t>Yeast Expense</t>
  </si>
  <si>
    <t>Hops Expense</t>
  </si>
  <si>
    <t>Batch Total Cost</t>
  </si>
  <si>
    <t>Gallon Cost</t>
  </si>
  <si>
    <t>Bottle Cost (12oz)</t>
  </si>
  <si>
    <t>Package</t>
  </si>
  <si>
    <t>Cost</t>
  </si>
  <si>
    <t>Price</t>
  </si>
  <si>
    <t>Profit / Gal</t>
  </si>
  <si>
    <t>6pack</t>
  </si>
  <si>
    <t>keg 2.5gal</t>
  </si>
  <si>
    <t>Keg 5gal</t>
  </si>
  <si>
    <t>Price / lb</t>
  </si>
  <si>
    <t>Ale Malt, NW (GWM)</t>
  </si>
  <si>
    <t>Munich Malt (GWM)</t>
  </si>
  <si>
    <t>Pilsner Malt, Belgian</t>
  </si>
  <si>
    <t>Pilsner Malt, German</t>
  </si>
  <si>
    <t>Vienna Malt (GWM)</t>
  </si>
  <si>
    <t>Pale Malt, Maris Otter</t>
  </si>
  <si>
    <t>6 Row (Briess)</t>
  </si>
  <si>
    <t>Acid Malt</t>
  </si>
  <si>
    <t>Aromatic Malt</t>
  </si>
  <si>
    <t>Biscuit Malt</t>
  </si>
  <si>
    <t>Black Patent Malt</t>
  </si>
  <si>
    <t>Brown Malt (HB)</t>
  </si>
  <si>
    <t>Caramunich Malt</t>
  </si>
  <si>
    <t>Caravienne Malt</t>
  </si>
  <si>
    <t>Chocolate Malt</t>
  </si>
  <si>
    <t>Carapils Malt (Dextrine)</t>
  </si>
  <si>
    <t>Crytstal 35</t>
  </si>
  <si>
    <t>Crystal 60</t>
  </si>
  <si>
    <t>Crystal 75</t>
  </si>
  <si>
    <t>Crystal 120</t>
  </si>
  <si>
    <t>Crystal 150</t>
  </si>
  <si>
    <t>Flaked Barley</t>
  </si>
  <si>
    <t>Flaked Corn (Maize)</t>
  </si>
  <si>
    <t>Flaked Oat</t>
  </si>
  <si>
    <t>Flaked Rice</t>
  </si>
  <si>
    <t>Flaked Rye</t>
  </si>
  <si>
    <t>Flaked Wheat</t>
  </si>
  <si>
    <t>Honey Malt</t>
  </si>
  <si>
    <t>Peated (Smoked) Malt (HB)</t>
  </si>
  <si>
    <t>Rauch (Smoked) Malt</t>
  </si>
  <si>
    <t>Roasted Barley</t>
  </si>
  <si>
    <t>Rye Malt</t>
  </si>
  <si>
    <t>Special B Malt</t>
  </si>
  <si>
    <t>Special Roast (Briess)</t>
  </si>
  <si>
    <t>Torrified Wheat</t>
  </si>
  <si>
    <t>Victory Malt(Briess)</t>
  </si>
  <si>
    <t>HullsRice/Oat/Barley</t>
  </si>
  <si>
    <t>DME</t>
  </si>
  <si>
    <t>Adjuncts</t>
  </si>
  <si>
    <t>Molasses</t>
  </si>
  <si>
    <t>Candi (Beet) Sugar</t>
  </si>
  <si>
    <t>Hops</t>
  </si>
  <si>
    <t>Price / oz</t>
  </si>
  <si>
    <t>AAU (%)</t>
  </si>
  <si>
    <t>Admiral (U.K.)</t>
  </si>
  <si>
    <t>Ahtanum</t>
  </si>
  <si>
    <t>Amarillo</t>
  </si>
  <si>
    <t>Apollo</t>
  </si>
  <si>
    <t>Aurora (Slovenia)</t>
  </si>
  <si>
    <t>Bramling Cross (U.K.)</t>
  </si>
  <si>
    <t>Bravo</t>
  </si>
  <si>
    <t>Brewer's Gold (German)</t>
  </si>
  <si>
    <t>Brewer's Gold (U.S.)</t>
  </si>
  <si>
    <t>Bullion (U.K.)</t>
  </si>
  <si>
    <t>Cascade (Argentina)</t>
  </si>
  <si>
    <t>Cascade (New Zealand)</t>
  </si>
  <si>
    <t>Challenger (U.K.)</t>
  </si>
  <si>
    <t>Chinook</t>
  </si>
  <si>
    <t>Cluster</t>
  </si>
  <si>
    <t>Columbus</t>
  </si>
  <si>
    <t>Crystal</t>
  </si>
  <si>
    <t>Eroica (German)</t>
  </si>
  <si>
    <t>First Gold (U.K.</t>
  </si>
  <si>
    <t>Fuggle (U.K.)</t>
  </si>
  <si>
    <t>Fuggle (U.S.)</t>
  </si>
  <si>
    <t>Galena</t>
  </si>
  <si>
    <t>Glacier (U.S.</t>
  </si>
  <si>
    <t>Golding (U.S.</t>
  </si>
  <si>
    <t>Green Bullet (New Zealand)</t>
  </si>
  <si>
    <t>Hallertau Aroma (New Zealand)</t>
  </si>
  <si>
    <t>Hallertauer (U.S.)</t>
  </si>
  <si>
    <t>Hallertauer Gold (German)</t>
  </si>
  <si>
    <t>Hallertauer Tradition (German)</t>
  </si>
  <si>
    <t>Herald (U.K.)</t>
  </si>
  <si>
    <t>Hersbrucker (German</t>
  </si>
  <si>
    <t>Horizon</t>
  </si>
  <si>
    <t>Kent Golding (U.K.)</t>
  </si>
  <si>
    <t>Liberty</t>
  </si>
  <si>
    <t>Lublin (Poland)</t>
  </si>
  <si>
    <t>Magnum</t>
  </si>
  <si>
    <t>Marynka (Poland)</t>
  </si>
  <si>
    <t>Millenium</t>
  </si>
  <si>
    <t>Motueka (New Zealand)</t>
  </si>
  <si>
    <t>Mt. Hood</t>
  </si>
  <si>
    <t>Nelson Sauvin (New Zealand)</t>
  </si>
  <si>
    <t>Newport</t>
  </si>
  <si>
    <t>Northdown (U.K.)</t>
  </si>
  <si>
    <t>Northern Brewer (German)</t>
  </si>
  <si>
    <t>Northern Brewer (U.S.)</t>
  </si>
  <si>
    <t>Northwest Golding</t>
  </si>
  <si>
    <t>Nugget</t>
  </si>
  <si>
    <t>Olympic</t>
  </si>
  <si>
    <t>Opal (German)</t>
  </si>
  <si>
    <t>Pacific Gem (New Zealand)</t>
  </si>
  <si>
    <t>Pacific Jade (New Zealand)</t>
  </si>
  <si>
    <t>Pacifica (New Zealand)</t>
  </si>
  <si>
    <t>Palisade</t>
  </si>
  <si>
    <t>Perle (German)</t>
  </si>
  <si>
    <t>Perle (U.S.)</t>
  </si>
  <si>
    <t>Phoenix (U.K.)</t>
  </si>
  <si>
    <t>Pioneer (U.K.</t>
  </si>
  <si>
    <t>Premiant (Czech)</t>
  </si>
  <si>
    <t>Pride of Ringwood (Australia)</t>
  </si>
  <si>
    <t>Progress (U.K.</t>
  </si>
  <si>
    <t>Riwaka (New Zealand)</t>
  </si>
  <si>
    <t>Saaz (Czech)</t>
  </si>
  <si>
    <t>Santiam</t>
  </si>
  <si>
    <t>Saphir (German)</t>
  </si>
  <si>
    <t>Satus</t>
  </si>
  <si>
    <t>Select (German)</t>
  </si>
  <si>
    <t>Simcoe</t>
  </si>
  <si>
    <t>Sladek (Czech)</t>
  </si>
  <si>
    <t>Sorachi Ace (Japan)</t>
  </si>
  <si>
    <t>Southern Cross (New Zealand)</t>
  </si>
  <si>
    <t>Spalt (German)</t>
  </si>
  <si>
    <t>Spalt Select (German)</t>
  </si>
  <si>
    <t>Spalt Select (U.S.)</t>
  </si>
  <si>
    <t>Sterling</t>
  </si>
  <si>
    <t>Strisslespalt (France</t>
  </si>
  <si>
    <t>Styrian Golding (Slovenia)</t>
  </si>
  <si>
    <t>Summit</t>
  </si>
  <si>
    <t>Sun</t>
  </si>
  <si>
    <t>Super Alpha (New Zealand)</t>
  </si>
  <si>
    <t>Super Pride (Australia)</t>
  </si>
  <si>
    <t>Target (U.K.)</t>
  </si>
  <si>
    <t>Tettnanger (German</t>
  </si>
  <si>
    <t>Tettnanger (U.S.)</t>
  </si>
  <si>
    <t>Tomahawk</t>
  </si>
  <si>
    <t>Tradition (German)</t>
  </si>
  <si>
    <t>Ultra</t>
  </si>
  <si>
    <t>Vanguard</t>
  </si>
  <si>
    <t>Warrior</t>
  </si>
  <si>
    <t>WGV (Whitbread Golding Variety) (U.K.)</t>
  </si>
  <si>
    <t>Willamette</t>
  </si>
  <si>
    <t>Yakima Cluster</t>
  </si>
  <si>
    <t xml:space="preserve">Zeus </t>
  </si>
  <si>
    <t>Yeast</t>
  </si>
  <si>
    <t>Item #</t>
  </si>
  <si>
    <t>Lab</t>
  </si>
  <si>
    <t>Type</t>
  </si>
  <si>
    <t>Form</t>
  </si>
  <si>
    <t>Price / ea.</t>
  </si>
  <si>
    <t>California Ale Yeast</t>
  </si>
  <si>
    <t>WLP001</t>
  </si>
  <si>
    <t>White labs</t>
  </si>
  <si>
    <t>ALE</t>
  </si>
  <si>
    <t>Liquid</t>
  </si>
  <si>
    <t>English Ale Yeast</t>
  </si>
  <si>
    <t>WLP002</t>
  </si>
  <si>
    <t>Irish Ale Yeast</t>
  </si>
  <si>
    <t>WLP004</t>
  </si>
  <si>
    <t>British Ale Yeast</t>
  </si>
  <si>
    <t>WLP005</t>
  </si>
  <si>
    <t>Dry English Ale Yeast</t>
  </si>
  <si>
    <t>WLP007</t>
  </si>
  <si>
    <t>East Coast Ale Yeast</t>
  </si>
  <si>
    <t>WLP008</t>
  </si>
  <si>
    <t>European Ale Yeast</t>
  </si>
  <si>
    <t>WLP011</t>
  </si>
  <si>
    <t>London Ale Yeast</t>
  </si>
  <si>
    <t>WLP013</t>
  </si>
  <si>
    <t>California V Ale Yeast</t>
  </si>
  <si>
    <t>WLP051</t>
  </si>
  <si>
    <t>Burton Ale Yeast</t>
  </si>
  <si>
    <t>WLP023</t>
  </si>
  <si>
    <t>Edinburgh Scottish Ale Yeast</t>
  </si>
  <si>
    <t>WLP028</t>
  </si>
  <si>
    <t>German/Kolsch Ale Yeast</t>
  </si>
  <si>
    <t>WLP029</t>
  </si>
  <si>
    <t>Hefeweizen Ale Yeast</t>
  </si>
  <si>
    <t>WLP300</t>
  </si>
  <si>
    <t>Specialty Ale</t>
  </si>
  <si>
    <t>American Hefeweizen Ale Yeast</t>
  </si>
  <si>
    <t>WLP320</t>
  </si>
  <si>
    <t>Hefeweizen IV Ale Yeast</t>
  </si>
  <si>
    <t>WLP380</t>
  </si>
  <si>
    <t>Belgian Wit Ale Yeast</t>
  </si>
  <si>
    <t>WLP400</t>
  </si>
  <si>
    <t>Trappist Ale Yeast</t>
  </si>
  <si>
    <t>WLP500</t>
  </si>
  <si>
    <t>Abbey Ale Yeast</t>
  </si>
  <si>
    <t>WLP530</t>
  </si>
  <si>
    <t>Belgian Ale Yeast</t>
  </si>
  <si>
    <t>WLP550</t>
  </si>
  <si>
    <t>Saison Ale Yeast</t>
  </si>
  <si>
    <t>WLP565</t>
  </si>
  <si>
    <t>Belgian Golden Ale Yeast</t>
  </si>
  <si>
    <t>WLP570</t>
  </si>
  <si>
    <t>Champagne Yeast</t>
  </si>
  <si>
    <t>WLP715</t>
  </si>
  <si>
    <t>Wine/Mead</t>
  </si>
  <si>
    <t>Avize Yeast</t>
  </si>
  <si>
    <t>WLP718</t>
  </si>
  <si>
    <t>Sweet Mead/Wine Yeast</t>
  </si>
  <si>
    <t>WLP720</t>
  </si>
  <si>
    <t>SteingbergGeisenheim Yeast</t>
  </si>
  <si>
    <t>WLP727</t>
  </si>
  <si>
    <t>French White Yeast</t>
  </si>
  <si>
    <t>WLP735</t>
  </si>
  <si>
    <t>Merlot Red Wine Yeast</t>
  </si>
  <si>
    <t>WLP740</t>
  </si>
  <si>
    <t>French Red Yeast</t>
  </si>
  <si>
    <t>WLP750</t>
  </si>
  <si>
    <t>Cabernet Red Wine Yeast</t>
  </si>
  <si>
    <t>WLP760</t>
  </si>
  <si>
    <t>Suremain Burgundy Yeast</t>
  </si>
  <si>
    <t>WLP770</t>
  </si>
  <si>
    <t>English Cider Yeast</t>
  </si>
  <si>
    <t>WLP775</t>
  </si>
  <si>
    <t>Malolactic Bacteria</t>
  </si>
  <si>
    <t>WLP675</t>
  </si>
  <si>
    <t>Pilsner Lager Yeast</t>
  </si>
  <si>
    <t>WLP800</t>
  </si>
  <si>
    <t>Lager</t>
  </si>
  <si>
    <t>Czech Budejovice Lager Yeast</t>
  </si>
  <si>
    <t>WLP802</t>
  </si>
  <si>
    <t>Oktoberfest Lager Yeast</t>
  </si>
  <si>
    <t>WLP820</t>
  </si>
  <si>
    <t>German Lager Yeast</t>
  </si>
  <si>
    <t>WLP830</t>
  </si>
  <si>
    <t>Southern German Lager Yeast</t>
  </si>
  <si>
    <t>WLP838</t>
  </si>
  <si>
    <t>American Pilsner Lager Yeast</t>
  </si>
  <si>
    <t>WLP840</t>
  </si>
  <si>
    <t>German Bock Yeast</t>
  </si>
  <si>
    <t>WLP833</t>
  </si>
  <si>
    <t>Klassic Ale Yeast</t>
  </si>
  <si>
    <t>WLP033</t>
  </si>
  <si>
    <t>Seasonal</t>
  </si>
  <si>
    <t>Belgian Bastogne Ale Yeast</t>
  </si>
  <si>
    <t>WLP510</t>
  </si>
  <si>
    <t>Mexican Lager Yeast</t>
  </si>
  <si>
    <t>WLP940</t>
  </si>
  <si>
    <t>Essex Ale Yeast</t>
  </si>
  <si>
    <t>WLP022</t>
  </si>
  <si>
    <t>German Ale II Yeast</t>
  </si>
  <si>
    <t>WLP003</t>
  </si>
  <si>
    <t>Premium Bitter Yeast</t>
  </si>
  <si>
    <t>WLP026</t>
  </si>
  <si>
    <t>Belgian Wit II Yeast</t>
  </si>
  <si>
    <t>WLP410</t>
  </si>
  <si>
    <t>Zurich Lager Yeast</t>
  </si>
  <si>
    <t>WLP885</t>
  </si>
  <si>
    <t>Bedford British Yeast</t>
  </si>
  <si>
    <t>WLP006</t>
  </si>
  <si>
    <t>Old Bavarian Lager Yeast</t>
  </si>
  <si>
    <t>WLP920</t>
  </si>
  <si>
    <t>Southwold Ale Yeast</t>
  </si>
  <si>
    <t>WLP025</t>
  </si>
  <si>
    <t>Super High Gravity Ale Yeast</t>
  </si>
  <si>
    <t>WLP099</t>
  </si>
  <si>
    <t>Weihenstephan (Weizen)</t>
  </si>
  <si>
    <t>WYEAST</t>
  </si>
  <si>
    <t>Witbier</t>
  </si>
  <si>
    <t>Lambic Blend</t>
  </si>
  <si>
    <t>Brettanomyces Bruxellensis</t>
  </si>
  <si>
    <t>Mash Tmax-crit</t>
  </si>
  <si>
    <t>deg F</t>
  </si>
  <si>
    <t>Mash Tmin-crit</t>
  </si>
  <si>
    <t>Approximate Brewhouse Efficiency</t>
  </si>
  <si>
    <t>Hallertauer Mittelfroh (German</t>
  </si>
  <si>
    <t>Synthetic Refractometer Reading</t>
  </si>
  <si>
    <t>Mash Residual Alkalinity Adjustment Worksheet Version 2.4 (US Units)</t>
    <phoneticPr fontId="3"/>
  </si>
  <si>
    <t>User Input</t>
  </si>
  <si>
    <t>by John Palmer All Rights Reserved 2008</t>
  </si>
  <si>
    <t>Calc. Output</t>
  </si>
  <si>
    <t xml:space="preserve">Units are grams, gallons, and milliliters. </t>
  </si>
  <si>
    <r>
      <t>Step 1:</t>
    </r>
    <r>
      <rPr>
        <sz val="9"/>
        <rFont val="Arial Bold"/>
      </rPr>
      <t xml:space="preserve"> Enter Target Beer Color to see range of suggested Residual Alkalinity, Or Enter a Target Water Profile to see its calculated Residual Alkalinity value and a range of suggested Beer Color. (Choose either "Bicarbonate" or "Total Alkalinity" in E10 and enter the appropriate value in E11.)</t>
    </r>
  </si>
  <si>
    <t>Target Color (SRM)</t>
  </si>
  <si>
    <t>Est. RA (Low)</t>
  </si>
  <si>
    <t>Est. RA (High)</t>
  </si>
  <si>
    <t>Ratio</t>
    <phoneticPr fontId="3"/>
  </si>
  <si>
    <t>Balance</t>
    <phoneticPr fontId="3"/>
  </si>
  <si>
    <t>Target Water</t>
  </si>
  <si>
    <t>Calcium (ppm)</t>
  </si>
  <si>
    <t>Magnesium (ppm)</t>
  </si>
  <si>
    <t>Alkalinity as CaCO3</t>
  </si>
  <si>
    <t>Sodium (ppm)</t>
  </si>
  <si>
    <t>Chloride (ppm)</t>
  </si>
  <si>
    <t>Sulfate (ppm)</t>
  </si>
  <si>
    <t>(Effective Hardness)</t>
  </si>
  <si>
    <t>Residual Alkalinity as CaCO3</t>
  </si>
  <si>
    <t>Est. SRM (Low)</t>
  </si>
  <si>
    <t>Est. SRM (High)</t>
  </si>
  <si>
    <t>Chloride to Sulfate Balance</t>
    <phoneticPr fontId="3"/>
  </si>
  <si>
    <t>Very Bitter</t>
    <phoneticPr fontId="3"/>
  </si>
  <si>
    <t>(ppm)</t>
  </si>
  <si>
    <t>Bitter</t>
    <phoneticPr fontId="3"/>
  </si>
  <si>
    <t>Balanced</t>
    <phoneticPr fontId="3"/>
  </si>
  <si>
    <r>
      <t>Step 2:</t>
    </r>
    <r>
      <rPr>
        <sz val="9"/>
        <rFont val="Arial Bold"/>
      </rPr>
      <t xml:space="preserve"> Enter Source Water Profile. (Choose "Bicarbonate" or "Alkalinity" in E14.)</t>
    </r>
  </si>
  <si>
    <t>Malty</t>
    <phoneticPr fontId="3"/>
  </si>
  <si>
    <t>Source Water</t>
  </si>
  <si>
    <t>Water pH</t>
  </si>
  <si>
    <t>Chloride to Sulfate Ratio</t>
    <phoneticPr fontId="3"/>
  </si>
  <si>
    <t>Very Malty</t>
    <phoneticPr fontId="3"/>
  </si>
  <si>
    <r>
      <t>Step 3: Optional:</t>
    </r>
    <r>
      <rPr>
        <sz val="9"/>
        <rFont val="Arial Bold"/>
      </rPr>
      <t xml:space="preserve"> Dilute Source Water with Distilled Water (Enter Zero if not diluting.) </t>
    </r>
  </si>
  <si>
    <t>Dilution Rate</t>
  </si>
  <si>
    <r>
      <t>Step 4:</t>
    </r>
    <r>
      <rPr>
        <sz val="9"/>
        <rFont val="Arial Bold"/>
      </rPr>
      <t xml:space="preserve"> Enter a Target Residual Alkalinity Value, based on Step 1, and the total volume of mash water.</t>
    </r>
  </si>
  <si>
    <t>Target Residual Alkalinity</t>
  </si>
  <si>
    <t>Mash Water Volume (gal)</t>
  </si>
  <si>
    <t>Volume of Source Water (gal.)</t>
  </si>
  <si>
    <t>Volume of Distilled Water (gal.)</t>
  </si>
  <si>
    <t>Additional Eff. Hardness Needed</t>
  </si>
  <si>
    <t>Additional Alkalinity Needed</t>
  </si>
  <si>
    <t>Target RA Est. SRM (Low)</t>
  </si>
  <si>
    <t>Target RA Est. SRM (High)</t>
  </si>
  <si>
    <r>
      <t>Step 5: Optional:</t>
    </r>
    <r>
      <rPr>
        <sz val="9"/>
        <rFont val="Arial Bold"/>
      </rPr>
      <t xml:space="preserve"> Add salts to Mash Water. (Enter Zeros if not adding salt.)</t>
    </r>
  </si>
  <si>
    <t>Salt Additions</t>
  </si>
  <si>
    <t>Chalk       CaCO3</t>
  </si>
  <si>
    <t>Gypsum  CaSO4 *2H2O</t>
  </si>
  <si>
    <t>Calcium Chloride  CaCl2*2H2O</t>
  </si>
  <si>
    <t>Epsom Salt  MgSO4 *7H2O</t>
  </si>
  <si>
    <t>Baking Soda  NaHCO3</t>
  </si>
  <si>
    <t>(grams)</t>
  </si>
  <si>
    <t>Salt Contributions</t>
  </si>
  <si>
    <t>HCO3  (ppm)</t>
  </si>
  <si>
    <t>Contributed Hardness</t>
  </si>
  <si>
    <t>Contributed Alkalinity</t>
  </si>
  <si>
    <r>
      <t>Step 6: Optional:</t>
    </r>
    <r>
      <rPr>
        <sz val="9"/>
        <rFont val="Arial Bold"/>
      </rPr>
      <t xml:space="preserve"> Add Acid to Mash Water. (Enter Zero if not adding acid.)</t>
    </r>
  </si>
  <si>
    <t>Acid Adjustment</t>
  </si>
  <si>
    <t>Bottle Conc.</t>
  </si>
  <si>
    <t>Est. Acid-Only Mash Addition (ml)</t>
  </si>
  <si>
    <t>Mash Water Addition (ml)</t>
  </si>
  <si>
    <t>Hydrochloric</t>
  </si>
  <si>
    <t>Lactic</t>
  </si>
  <si>
    <r>
      <t>Step 7: Result:</t>
    </r>
    <r>
      <rPr>
        <sz val="9"/>
        <rFont val="Arial Bold"/>
      </rPr>
      <t xml:space="preserve"> Adjusted Mash Chemistry and Final Residual Alkalinity and Beer Color Range</t>
    </r>
  </si>
  <si>
    <t>Adjusted Mash</t>
  </si>
  <si>
    <r>
      <t>Step 8: Optional:</t>
    </r>
    <r>
      <rPr>
        <sz val="9"/>
        <rFont val="Arial Bold"/>
      </rPr>
      <t xml:space="preserve"> Sparge Water pH Adjustment</t>
    </r>
  </si>
  <si>
    <t>Measure Sparge Water pH @ 20C</t>
  </si>
  <si>
    <t>Target Sparge Water pH @ 20C</t>
  </si>
  <si>
    <t>Sparge Water Volume (gal)</t>
  </si>
  <si>
    <t>Est. Sparge Water Addition (ml)</t>
  </si>
  <si>
    <t>sulfuric</t>
  </si>
  <si>
    <t>lactic</t>
  </si>
  <si>
    <t>phosphoric</t>
  </si>
  <si>
    <t>hydrochloric</t>
  </si>
  <si>
    <t>Adjusted mEq Acid</t>
  </si>
  <si>
    <t>frac/ H ions</t>
  </si>
  <si>
    <t>f4d</t>
  </si>
  <si>
    <t>f3d</t>
  </si>
  <si>
    <t>f2d</t>
  </si>
  <si>
    <t>f1d</t>
  </si>
  <si>
    <t>dd</t>
  </si>
  <si>
    <t>r3d</t>
  </si>
  <si>
    <t>r2d</t>
  </si>
  <si>
    <t>r1d</t>
  </si>
  <si>
    <t>pH</t>
  </si>
  <si>
    <t>pk3</t>
  </si>
  <si>
    <t>pk2</t>
  </si>
  <si>
    <t>pk1</t>
  </si>
  <si>
    <t>acid</t>
  </si>
  <si>
    <t>mEq/l</t>
  </si>
  <si>
    <t>E (rough)</t>
  </si>
  <si>
    <t>mEq/L</t>
  </si>
  <si>
    <t>Adjusted Total Alk</t>
  </si>
  <si>
    <r>
      <t>% of Carbo as CO</t>
    </r>
    <r>
      <rPr>
        <vertAlign val="subscript"/>
        <sz val="10"/>
        <rFont val="Arial"/>
        <family val="2"/>
      </rPr>
      <t>3</t>
    </r>
    <r>
      <rPr>
        <vertAlign val="superscript"/>
        <sz val="10"/>
        <rFont val="Arial"/>
        <family val="2"/>
      </rPr>
      <t>--</t>
    </r>
  </si>
  <si>
    <r>
      <t>% of Carbo as HCO</t>
    </r>
    <r>
      <rPr>
        <vertAlign val="subscript"/>
        <sz val="10"/>
        <rFont val="Arial"/>
        <family val="2"/>
      </rPr>
      <t>3</t>
    </r>
    <r>
      <rPr>
        <vertAlign val="superscript"/>
        <sz val="10"/>
        <rFont val="Arial"/>
        <family val="2"/>
      </rPr>
      <t>-</t>
    </r>
  </si>
  <si>
    <r>
      <t>% of Carbo as H</t>
    </r>
    <r>
      <rPr>
        <vertAlign val="subscript"/>
        <sz val="10"/>
        <rFont val="Arial"/>
        <family val="2"/>
      </rPr>
      <t>2</t>
    </r>
    <r>
      <rPr>
        <sz val="10"/>
        <rFont val="Verdana"/>
        <family val="2"/>
      </rPr>
      <t>CO</t>
    </r>
    <r>
      <rPr>
        <vertAlign val="subscript"/>
        <sz val="10"/>
        <rFont val="Arial"/>
        <family val="2"/>
      </rPr>
      <t>3</t>
    </r>
  </si>
  <si>
    <t>Carbo system at pH =</t>
  </si>
  <si>
    <t xml:space="preserve">    converted to mEq/L</t>
  </si>
  <si>
    <t>Total Alkalinity</t>
  </si>
  <si>
    <t>Calculated values</t>
  </si>
  <si>
    <t>ct</t>
  </si>
  <si>
    <t>Bicarbonate (ppm)</t>
  </si>
  <si>
    <t>f3</t>
  </si>
  <si>
    <t>f2</t>
  </si>
  <si>
    <t>f1</t>
  </si>
  <si>
    <t>d</t>
  </si>
  <si>
    <t>r2</t>
  </si>
  <si>
    <t>r1</t>
  </si>
  <si>
    <t>ph</t>
  </si>
  <si>
    <t>HCO3 ppm (if pH&lt;8.4)</t>
  </si>
  <si>
    <t>CO3--</t>
  </si>
  <si>
    <t>HCO3-</t>
  </si>
  <si>
    <t>H2CO3</t>
  </si>
  <si>
    <t>Carbonate Ratio at (_) pH</t>
  </si>
  <si>
    <t>ppm as CaCO3</t>
  </si>
  <si>
    <t>modified from Tom M's Acid Addition Calculation Sheet (palmer 10/2006)</t>
  </si>
  <si>
    <t>Boil Additions</t>
  </si>
  <si>
    <t>---=== Adjuncts ===---</t>
  </si>
  <si>
    <t>Bitter Orange (Dry)</t>
  </si>
  <si>
    <t>Pumpkin Pie Spice</t>
  </si>
  <si>
    <t>Fresh Orange Peel</t>
  </si>
  <si>
    <t>Sweet Orange Peel (Dry)</t>
  </si>
  <si>
    <t>Usage</t>
  </si>
  <si>
    <t>Bittering</t>
  </si>
  <si>
    <t>Aroma</t>
  </si>
  <si>
    <t>Dual</t>
  </si>
  <si>
    <t>Hops Usages</t>
  </si>
  <si>
    <t>Description</t>
  </si>
  <si>
    <t>Aroma - mild, slightly flowery</t>
  </si>
  <si>
    <t>Aroma - flowery &amp; citrusy. Very versatile.</t>
  </si>
  <si>
    <t>Aroma - floral &amp; citrusy</t>
  </si>
  <si>
    <t>Corriander</t>
  </si>
  <si>
    <t>Bill %</t>
  </si>
  <si>
    <t>Total Grain Wieght</t>
  </si>
  <si>
    <t>http://www.homebrewtalk.com/wiki/index.php/Malts_Ch</t>
  </si>
  <si>
    <t>XXXX</t>
  </si>
  <si>
    <t>ICB</t>
  </si>
  <si>
    <t>House Propagation</t>
  </si>
  <si>
    <t>Repitch</t>
  </si>
  <si>
    <t>Primary Grains, Malts and Boil Adjuncts</t>
  </si>
  <si>
    <t>Malt Character</t>
  </si>
  <si>
    <t>1.000019+0.003865613*(A8)+0.00001296425*(A8*A8)+0.00000005701128*(A8*A8*A8)</t>
  </si>
  <si>
    <t>Dark Brown Sugar</t>
  </si>
  <si>
    <t>Imperial Pale Ale</t>
  </si>
  <si>
    <t>Strong Man Pale</t>
  </si>
  <si>
    <t>x</t>
  </si>
  <si>
    <t>MCU</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</si>
</sst>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 $&quot;#,##0.00\ ;&quot; $(&quot;#,##0.00\);&quot; $-&quot;#\ ;@\ "/>
    <numFmt numFmtId="165" formatCode="0.0%"/>
    <numFmt numFmtId="166" formatCode="0.0"/>
    <numFmt numFmtId="167" formatCode="0.000"/>
    <numFmt numFmtId="168" formatCode="#,##0.00\ ;&quot; (&quot;#,##0.00\);&quot; -&quot;#\ ;@\ "/>
    <numFmt numFmtId="169" formatCode="#,##0\ ;&quot; (&quot;#,##0\);&quot; -&quot;#\ ;@\ "/>
    <numFmt numFmtId="170" formatCode="0.0000"/>
  </numFmts>
  <fonts count="32" x14ac:knownFonts="1">
    <font>
      <sz val="10"/>
      <name val="Arial"/>
      <family val="2"/>
    </font>
    <font>
      <b/>
      <sz val="10"/>
      <name val="Arial"/>
      <family val="2"/>
    </font>
    <font>
      <u/>
      <sz val="10"/>
      <color indexed="12"/>
      <name val="Arial"/>
      <family val="2"/>
    </font>
    <font>
      <sz val="10"/>
      <name val="Verdana"/>
      <family val="2"/>
    </font>
    <font>
      <b/>
      <sz val="10"/>
      <name val="Verdana"/>
      <family val="2"/>
    </font>
    <font>
      <sz val="10"/>
      <name val="Times New Roman"/>
      <family val="1"/>
    </font>
    <font>
      <sz val="10"/>
      <color indexed="8"/>
      <name val="Segoe UI"/>
      <family val="2"/>
    </font>
    <font>
      <sz val="10"/>
      <name val="Arial"/>
      <family val="2"/>
    </font>
    <font>
      <b/>
      <u/>
      <sz val="12"/>
      <name val="Arial"/>
      <family val="2"/>
    </font>
    <font>
      <sz val="9"/>
      <name val="Arial"/>
      <family val="2"/>
    </font>
    <font>
      <i/>
      <sz val="9"/>
      <name val="Arial"/>
      <family val="2"/>
    </font>
    <font>
      <u/>
      <sz val="9"/>
      <name val="Arial Bold"/>
    </font>
    <font>
      <sz val="9"/>
      <name val="Arial Bold"/>
    </font>
    <font>
      <sz val="9"/>
      <name val="Verdana"/>
      <family val="2"/>
    </font>
    <font>
      <b/>
      <i/>
      <sz val="9"/>
      <name val="Arial"/>
      <family val="2"/>
    </font>
    <font>
      <b/>
      <sz val="9"/>
      <name val="Arial"/>
      <family val="2"/>
    </font>
    <font>
      <b/>
      <u/>
      <sz val="9"/>
      <name val="Arial"/>
      <family val="2"/>
    </font>
    <font>
      <b/>
      <i/>
      <u/>
      <sz val="9"/>
      <name val="Arial"/>
      <family val="2"/>
    </font>
    <font>
      <b/>
      <sz val="8"/>
      <color indexed="81"/>
      <name val="Tahoma"/>
      <family val="2"/>
    </font>
    <font>
      <sz val="8"/>
      <color indexed="81"/>
      <name val="Tahoma"/>
      <family val="2"/>
    </font>
    <font>
      <b/>
      <sz val="9"/>
      <color indexed="81"/>
      <name val="Verdana"/>
      <family val="2"/>
    </font>
    <font>
      <sz val="9"/>
      <color indexed="81"/>
      <name val="Verdana"/>
      <family val="2"/>
    </font>
    <font>
      <b/>
      <sz val="9"/>
      <color indexed="81"/>
      <name val="Arial"/>
      <family val="2"/>
    </font>
    <font>
      <sz val="9"/>
      <color indexed="81"/>
      <name val="Arial"/>
      <family val="2"/>
    </font>
    <font>
      <b/>
      <sz val="9"/>
      <color indexed="81"/>
      <name val="Tahoma"/>
      <family val="2"/>
    </font>
    <font>
      <sz val="9"/>
      <color indexed="81"/>
      <name val="Tahoma"/>
      <family val="2"/>
    </font>
    <font>
      <vertAlign val="subscript"/>
      <sz val="10"/>
      <name val="Arial"/>
      <family val="2"/>
    </font>
    <font>
      <vertAlign val="superscript"/>
      <sz val="10"/>
      <name val="Arial"/>
      <family val="2"/>
    </font>
    <font>
      <u/>
      <sz val="10"/>
      <name val="Arial"/>
      <family val="2"/>
    </font>
    <font>
      <b/>
      <u/>
      <sz val="10"/>
      <name val="Arial"/>
      <family val="2"/>
    </font>
    <font>
      <b/>
      <i/>
      <sz val="12"/>
      <name val="Arial"/>
      <family val="2"/>
    </font>
    <font>
      <sz val="10"/>
      <color rgb="FF000000"/>
      <name val="Arial"/>
      <family val="2"/>
    </font>
  </fonts>
  <fills count="17">
    <fill>
      <patternFill patternType="none"/>
    </fill>
    <fill>
      <patternFill patternType="gray125"/>
    </fill>
    <fill>
      <patternFill patternType="solid">
        <fgColor indexed="44"/>
        <bgColor indexed="31"/>
      </patternFill>
    </fill>
    <fill>
      <patternFill patternType="solid">
        <fgColor indexed="22"/>
        <bgColor indexed="31"/>
      </patternFill>
    </fill>
    <fill>
      <patternFill patternType="solid">
        <fgColor indexed="41"/>
        <bgColor indexed="42"/>
      </patternFill>
    </fill>
    <fill>
      <patternFill patternType="solid">
        <fgColor indexed="42"/>
        <bgColor indexed="41"/>
      </patternFill>
    </fill>
    <fill>
      <patternFill patternType="solid">
        <fgColor indexed="10"/>
        <bgColor indexed="60"/>
      </patternFill>
    </fill>
    <fill>
      <patternFill patternType="solid">
        <fgColor indexed="27"/>
        <bgColor indexed="41"/>
      </patternFill>
    </fill>
    <fill>
      <patternFill patternType="solid">
        <fgColor indexed="31"/>
        <bgColor indexed="22"/>
      </patternFill>
    </fill>
    <fill>
      <patternFill patternType="solid">
        <fgColor indexed="47"/>
        <bgColor indexed="22"/>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26"/>
        <bgColor indexed="64"/>
      </patternFill>
    </fill>
    <fill>
      <patternFill patternType="solid">
        <fgColor theme="4" tint="0.79998168889431442"/>
        <bgColor indexed="41"/>
      </patternFill>
    </fill>
    <fill>
      <patternFill patternType="solid">
        <fgColor theme="4" tint="0.79998168889431442"/>
        <bgColor indexed="34"/>
      </patternFill>
    </fill>
    <fill>
      <patternFill patternType="solid">
        <fgColor theme="4" tint="0.79998168889431442"/>
        <bgColor indexed="64"/>
      </patternFill>
    </fill>
  </fills>
  <borders count="55">
    <border>
      <left/>
      <right/>
      <top/>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right/>
      <top style="thin">
        <color indexed="8"/>
      </top>
      <bottom style="thin">
        <color indexed="8"/>
      </bottom>
      <diagonal/>
    </border>
    <border>
      <left style="thin">
        <color indexed="10"/>
      </left>
      <right/>
      <top/>
      <bottom/>
      <diagonal/>
    </border>
    <border>
      <left style="hair">
        <color indexed="8"/>
      </left>
      <right style="hair">
        <color indexed="8"/>
      </right>
      <top style="hair">
        <color indexed="8"/>
      </top>
      <bottom style="hair">
        <color indexed="8"/>
      </bottom>
      <diagonal/>
    </border>
    <border>
      <left style="thin">
        <color indexed="64"/>
      </left>
      <right style="thin">
        <color indexed="64"/>
      </right>
      <top style="thin">
        <color indexed="64"/>
      </top>
      <bottom style="thin">
        <color indexed="64"/>
      </bottom>
      <diagonal/>
    </border>
    <border>
      <left style="slantDashDot">
        <color indexed="64"/>
      </left>
      <right style="slantDashDot">
        <color indexed="64"/>
      </right>
      <top style="slantDashDot">
        <color indexed="64"/>
      </top>
      <bottom style="slantDashDot">
        <color indexed="64"/>
      </bottom>
      <diagonal/>
    </border>
    <border>
      <left style="slantDashDot">
        <color indexed="64"/>
      </left>
      <right style="slantDashDot">
        <color indexed="64"/>
      </right>
      <top style="slantDashDot">
        <color indexed="64"/>
      </top>
      <bottom/>
      <diagonal/>
    </border>
    <border>
      <left style="slantDashDot">
        <color indexed="64"/>
      </left>
      <right style="slantDashDot">
        <color indexed="64"/>
      </right>
      <top style="slantDashDot">
        <color indexed="64"/>
      </top>
      <bottom style="double">
        <color indexed="64"/>
      </bottom>
      <diagonal/>
    </border>
    <border>
      <left style="slantDashDot">
        <color indexed="64"/>
      </left>
      <right style="slantDashDot">
        <color indexed="64"/>
      </right>
      <top/>
      <bottom style="slantDashDot">
        <color indexed="64"/>
      </bottom>
      <diagonal/>
    </border>
    <border>
      <left style="slantDashDot">
        <color indexed="64"/>
      </left>
      <right style="slantDashDot">
        <color indexed="64"/>
      </right>
      <top style="double">
        <color indexed="64"/>
      </top>
      <bottom style="slantDashDot">
        <color indexed="64"/>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style="double">
        <color indexed="64"/>
      </right>
      <top/>
      <bottom style="double">
        <color indexed="64"/>
      </bottom>
      <diagonal/>
    </border>
    <border>
      <left/>
      <right/>
      <top style="double">
        <color indexed="64"/>
      </top>
      <bottom/>
      <diagonal/>
    </border>
    <border>
      <left/>
      <right style="double">
        <color indexed="64"/>
      </right>
      <top style="double">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Dashed">
        <color indexed="64"/>
      </top>
      <bottom/>
      <diagonal/>
    </border>
    <border>
      <left/>
      <right style="thin">
        <color indexed="64"/>
      </right>
      <top style="thin">
        <color indexed="64"/>
      </top>
      <bottom/>
      <diagonal/>
    </border>
    <border>
      <left/>
      <right/>
      <top style="double">
        <color indexed="64"/>
      </top>
      <bottom style="double">
        <color indexed="64"/>
      </bottom>
      <diagonal/>
    </border>
    <border>
      <left style="double">
        <color indexed="64"/>
      </left>
      <right style="double">
        <color indexed="64"/>
      </right>
      <top/>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right style="thin">
        <color indexed="8"/>
      </right>
      <top style="thin">
        <color indexed="8"/>
      </top>
      <bottom style="medium">
        <color indexed="8"/>
      </bottom>
      <diagonal/>
    </border>
    <border>
      <left/>
      <right/>
      <top/>
      <bottom style="double">
        <color indexed="64"/>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medium">
        <color indexed="8"/>
      </left>
      <right style="thin">
        <color indexed="8"/>
      </right>
      <top/>
      <bottom style="thin">
        <color indexed="8"/>
      </bottom>
      <diagonal/>
    </border>
    <border>
      <left style="thin">
        <color indexed="8"/>
      </left>
      <right style="medium">
        <color indexed="8"/>
      </right>
      <top/>
      <bottom style="thin">
        <color indexed="8"/>
      </bottom>
      <diagonal/>
    </border>
  </borders>
  <cellStyleXfs count="7">
    <xf numFmtId="0" fontId="0" fillId="0" borderId="0"/>
    <xf numFmtId="168" fontId="7" fillId="0" borderId="0"/>
    <xf numFmtId="164" fontId="7" fillId="0" borderId="0"/>
    <xf numFmtId="0" fontId="7" fillId="0" borderId="0"/>
    <xf numFmtId="0" fontId="2" fillId="0" borderId="0"/>
    <xf numFmtId="0" fontId="3" fillId="0" borderId="0"/>
    <xf numFmtId="9" fontId="7" fillId="0" borderId="0"/>
  </cellStyleXfs>
  <cellXfs count="319">
    <xf numFmtId="0" fontId="0" fillId="0" borderId="0" xfId="0"/>
    <xf numFmtId="0" fontId="7" fillId="0" borderId="0" xfId="3" applyAlignment="1">
      <alignment wrapText="1"/>
    </xf>
    <xf numFmtId="164" fontId="0" fillId="0" borderId="0" xfId="2" applyFont="1" applyFill="1" applyBorder="1" applyAlignment="1" applyProtection="1">
      <alignment wrapText="1"/>
    </xf>
    <xf numFmtId="0" fontId="1" fillId="0" borderId="0" xfId="3" applyFont="1" applyFill="1" applyBorder="1" applyAlignment="1">
      <alignment wrapText="1"/>
    </xf>
    <xf numFmtId="0" fontId="1" fillId="2" borderId="2" xfId="3" applyFont="1" applyFill="1" applyBorder="1" applyAlignment="1">
      <alignment wrapText="1"/>
    </xf>
    <xf numFmtId="0" fontId="1" fillId="2" borderId="1" xfId="3" applyFont="1" applyFill="1" applyBorder="1" applyAlignment="1">
      <alignment wrapText="1"/>
    </xf>
    <xf numFmtId="0" fontId="1" fillId="0" borderId="0" xfId="3" applyFont="1" applyAlignment="1">
      <alignment wrapText="1"/>
    </xf>
    <xf numFmtId="0" fontId="0" fillId="0" borderId="2" xfId="3" applyFont="1" applyBorder="1" applyAlignment="1">
      <alignment wrapText="1"/>
    </xf>
    <xf numFmtId="0" fontId="7" fillId="0" borderId="0" xfId="3" applyFill="1" applyBorder="1" applyAlignment="1">
      <alignment wrapText="1"/>
    </xf>
    <xf numFmtId="0" fontId="7" fillId="0" borderId="0" xfId="3" applyBorder="1" applyAlignment="1">
      <alignment wrapText="1"/>
    </xf>
    <xf numFmtId="0" fontId="7" fillId="0" borderId="1" xfId="3" applyBorder="1" applyAlignment="1">
      <alignment wrapText="1"/>
    </xf>
    <xf numFmtId="164" fontId="1" fillId="0" borderId="0" xfId="2" applyFont="1" applyFill="1" applyBorder="1" applyAlignment="1" applyProtection="1">
      <alignment wrapText="1"/>
    </xf>
    <xf numFmtId="0" fontId="0" fillId="0" borderId="0" xfId="3" applyFont="1" applyAlignment="1">
      <alignment wrapText="1"/>
    </xf>
    <xf numFmtId="166" fontId="0" fillId="0" borderId="0" xfId="3" applyNumberFormat="1" applyFont="1" applyFill="1" applyBorder="1" applyAlignment="1">
      <alignment wrapText="1"/>
    </xf>
    <xf numFmtId="0" fontId="1" fillId="2" borderId="5" xfId="3" applyFont="1" applyFill="1" applyBorder="1" applyAlignment="1">
      <alignment wrapText="1"/>
    </xf>
    <xf numFmtId="0" fontId="0" fillId="0" borderId="5" xfId="3" applyFont="1" applyBorder="1" applyAlignment="1">
      <alignment wrapText="1"/>
    </xf>
    <xf numFmtId="0" fontId="7" fillId="0" borderId="6" xfId="3" applyBorder="1" applyAlignment="1">
      <alignment wrapText="1"/>
    </xf>
    <xf numFmtId="0" fontId="7" fillId="0" borderId="7" xfId="3" applyBorder="1" applyAlignment="1">
      <alignment wrapText="1"/>
    </xf>
    <xf numFmtId="0" fontId="7" fillId="0" borderId="8" xfId="3" applyBorder="1" applyAlignment="1">
      <alignment wrapText="1"/>
    </xf>
    <xf numFmtId="0" fontId="1" fillId="3" borderId="9" xfId="3" applyFont="1" applyFill="1" applyBorder="1" applyAlignment="1">
      <alignment wrapText="1"/>
    </xf>
    <xf numFmtId="0" fontId="0" fillId="4" borderId="2" xfId="3" applyFont="1" applyFill="1" applyBorder="1" applyAlignment="1">
      <alignment wrapText="1"/>
    </xf>
    <xf numFmtId="167" fontId="7" fillId="4" borderId="3" xfId="3" applyNumberFormat="1" applyFill="1" applyBorder="1" applyAlignment="1">
      <alignment wrapText="1"/>
    </xf>
    <xf numFmtId="167" fontId="7" fillId="4" borderId="4" xfId="3" applyNumberFormat="1" applyFill="1" applyBorder="1" applyAlignment="1">
      <alignment wrapText="1"/>
    </xf>
    <xf numFmtId="0" fontId="0" fillId="4" borderId="10" xfId="3" applyFont="1" applyFill="1" applyBorder="1" applyAlignment="1">
      <alignment horizontal="center" wrapText="1"/>
    </xf>
    <xf numFmtId="0" fontId="0" fillId="4" borderId="1" xfId="3" applyFont="1" applyFill="1" applyBorder="1" applyAlignment="1">
      <alignment horizontal="center" wrapText="1"/>
    </xf>
    <xf numFmtId="9" fontId="0" fillId="4" borderId="5" xfId="6" applyFont="1" applyFill="1" applyBorder="1" applyAlignment="1" applyProtection="1">
      <alignment wrapText="1"/>
    </xf>
    <xf numFmtId="0" fontId="2" fillId="0" borderId="0" xfId="4" applyNumberFormat="1" applyFill="1" applyBorder="1" applyAlignment="1" applyProtection="1">
      <alignment wrapText="1"/>
    </xf>
    <xf numFmtId="9" fontId="0" fillId="4" borderId="8" xfId="6" applyFont="1" applyFill="1" applyBorder="1" applyAlignment="1" applyProtection="1">
      <alignment wrapText="1"/>
    </xf>
    <xf numFmtId="166" fontId="7" fillId="4" borderId="3" xfId="3" applyNumberFormat="1" applyFill="1" applyBorder="1" applyAlignment="1">
      <alignment wrapText="1"/>
    </xf>
    <xf numFmtId="0" fontId="7" fillId="0" borderId="0" xfId="3" applyFill="1" applyAlignment="1">
      <alignment wrapText="1"/>
    </xf>
    <xf numFmtId="0" fontId="0" fillId="4" borderId="6" xfId="3" applyFont="1" applyFill="1" applyBorder="1" applyAlignment="1">
      <alignment wrapText="1"/>
    </xf>
    <xf numFmtId="10" fontId="0" fillId="4" borderId="11" xfId="6" applyNumberFormat="1" applyFont="1" applyFill="1" applyBorder="1" applyAlignment="1" applyProtection="1">
      <alignment wrapText="1"/>
    </xf>
    <xf numFmtId="0" fontId="1" fillId="0" borderId="1" xfId="3" applyFont="1" applyBorder="1" applyAlignment="1">
      <alignment wrapText="1"/>
    </xf>
    <xf numFmtId="0" fontId="1" fillId="0" borderId="5" xfId="3" applyFont="1" applyBorder="1" applyAlignment="1">
      <alignment wrapText="1"/>
    </xf>
    <xf numFmtId="0" fontId="0" fillId="0" borderId="0" xfId="3" applyFont="1"/>
    <xf numFmtId="9" fontId="0" fillId="0" borderId="1" xfId="6" applyFont="1" applyFill="1" applyBorder="1" applyAlignment="1" applyProtection="1">
      <alignment wrapText="1"/>
    </xf>
    <xf numFmtId="9" fontId="0" fillId="0" borderId="5" xfId="6" applyFont="1" applyFill="1" applyBorder="1" applyAlignment="1" applyProtection="1">
      <alignment wrapText="1"/>
    </xf>
    <xf numFmtId="0" fontId="7" fillId="0" borderId="5" xfId="3" applyBorder="1" applyAlignment="1">
      <alignment wrapText="1"/>
    </xf>
    <xf numFmtId="169" fontId="0" fillId="0" borderId="1" xfId="1" applyNumberFormat="1" applyFont="1" applyFill="1" applyBorder="1" applyAlignment="1" applyProtection="1">
      <alignment wrapText="1"/>
    </xf>
    <xf numFmtId="169" fontId="0" fillId="0" borderId="5" xfId="1" applyNumberFormat="1" applyFont="1" applyFill="1" applyBorder="1" applyAlignment="1" applyProtection="1">
      <alignment wrapText="1"/>
    </xf>
    <xf numFmtId="165" fontId="0" fillId="0" borderId="1" xfId="6" applyNumberFormat="1" applyFont="1" applyFill="1" applyBorder="1" applyAlignment="1" applyProtection="1">
      <alignment wrapText="1"/>
    </xf>
    <xf numFmtId="165" fontId="0" fillId="0" borderId="5" xfId="6" applyNumberFormat="1" applyFont="1" applyFill="1" applyBorder="1" applyAlignment="1" applyProtection="1">
      <alignment wrapText="1"/>
    </xf>
    <xf numFmtId="0" fontId="7" fillId="0" borderId="0" xfId="3"/>
    <xf numFmtId="0" fontId="7" fillId="0" borderId="2" xfId="3" applyBorder="1"/>
    <xf numFmtId="0" fontId="7" fillId="5" borderId="1" xfId="3" applyFill="1" applyBorder="1" applyAlignment="1">
      <alignment wrapText="1"/>
    </xf>
    <xf numFmtId="167" fontId="7" fillId="5" borderId="1" xfId="3" applyNumberFormat="1" applyFill="1" applyBorder="1" applyAlignment="1">
      <alignment wrapText="1"/>
    </xf>
    <xf numFmtId="164" fontId="0" fillId="5" borderId="1" xfId="2" applyFont="1" applyFill="1" applyBorder="1" applyAlignment="1" applyProtection="1">
      <alignment wrapText="1"/>
    </xf>
    <xf numFmtId="164" fontId="0" fillId="5" borderId="5" xfId="2" applyFont="1" applyFill="1" applyBorder="1" applyAlignment="1" applyProtection="1">
      <alignment wrapText="1"/>
    </xf>
    <xf numFmtId="0" fontId="0" fillId="4" borderId="1" xfId="3" applyFont="1" applyFill="1" applyBorder="1" applyAlignment="1">
      <alignment wrapText="1"/>
    </xf>
    <xf numFmtId="167" fontId="7" fillId="4" borderId="1" xfId="3" applyNumberFormat="1" applyFill="1" applyBorder="1" applyAlignment="1">
      <alignment wrapText="1"/>
    </xf>
    <xf numFmtId="9" fontId="0" fillId="4" borderId="1" xfId="6" applyFont="1" applyFill="1" applyBorder="1" applyAlignment="1" applyProtection="1">
      <alignment wrapText="1"/>
    </xf>
    <xf numFmtId="0" fontId="7" fillId="4" borderId="1" xfId="3" applyFill="1" applyBorder="1" applyAlignment="1">
      <alignment wrapText="1"/>
    </xf>
    <xf numFmtId="166" fontId="7" fillId="4" borderId="1" xfId="3" applyNumberFormat="1" applyFill="1" applyBorder="1" applyAlignment="1">
      <alignment wrapText="1"/>
    </xf>
    <xf numFmtId="0" fontId="7" fillId="0" borderId="1" xfId="3" applyFill="1" applyBorder="1" applyAlignment="1">
      <alignment wrapText="1"/>
    </xf>
    <xf numFmtId="10" fontId="0" fillId="4" borderId="1" xfId="6" applyNumberFormat="1" applyFont="1" applyFill="1" applyBorder="1" applyAlignment="1" applyProtection="1">
      <alignment wrapText="1"/>
    </xf>
    <xf numFmtId="0" fontId="7" fillId="0" borderId="1" xfId="3" applyBorder="1"/>
    <xf numFmtId="0" fontId="7" fillId="0" borderId="6" xfId="3" applyBorder="1"/>
    <xf numFmtId="164" fontId="7" fillId="0" borderId="0" xfId="3" applyNumberFormat="1"/>
    <xf numFmtId="166" fontId="0" fillId="0" borderId="1" xfId="3" applyNumberFormat="1" applyFont="1" applyBorder="1" applyAlignment="1">
      <alignment wrapText="1"/>
    </xf>
    <xf numFmtId="164" fontId="0" fillId="0" borderId="1" xfId="2" applyFont="1" applyFill="1" applyBorder="1" applyAlignment="1" applyProtection="1">
      <alignment wrapText="1"/>
    </xf>
    <xf numFmtId="0" fontId="1" fillId="0" borderId="13" xfId="3" applyFont="1" applyBorder="1" applyAlignment="1"/>
    <xf numFmtId="164" fontId="7" fillId="0" borderId="10" xfId="3" applyNumberFormat="1" applyBorder="1" applyAlignment="1"/>
    <xf numFmtId="167" fontId="4" fillId="7" borderId="1" xfId="3" applyNumberFormat="1" applyFont="1" applyFill="1" applyBorder="1" applyAlignment="1">
      <alignment horizontal="center"/>
    </xf>
    <xf numFmtId="167" fontId="0" fillId="0" borderId="0" xfId="3" applyNumberFormat="1" applyFont="1" applyAlignment="1">
      <alignment wrapText="1"/>
    </xf>
    <xf numFmtId="0" fontId="3" fillId="0" borderId="14" xfId="3" applyFont="1" applyBorder="1"/>
    <xf numFmtId="0" fontId="3" fillId="0" borderId="0" xfId="3" applyFont="1"/>
    <xf numFmtId="14" fontId="3" fillId="0" borderId="0" xfId="3" applyNumberFormat="1" applyFont="1"/>
    <xf numFmtId="0" fontId="0" fillId="8" borderId="1" xfId="3" applyFont="1" applyFill="1" applyBorder="1" applyAlignment="1">
      <alignment horizontal="center" wrapText="1"/>
    </xf>
    <xf numFmtId="0" fontId="0" fillId="8" borderId="1" xfId="3" applyFont="1" applyFill="1" applyBorder="1" applyAlignment="1">
      <alignment wrapText="1"/>
    </xf>
    <xf numFmtId="0" fontId="3" fillId="9" borderId="1" xfId="3" applyFont="1" applyFill="1" applyBorder="1" applyAlignment="1">
      <alignment horizontal="center"/>
    </xf>
    <xf numFmtId="167" fontId="4" fillId="9" borderId="1" xfId="3" applyNumberFormat="1" applyFont="1" applyFill="1" applyBorder="1" applyAlignment="1">
      <alignment horizontal="center"/>
    </xf>
    <xf numFmtId="16" fontId="3" fillId="9" borderId="1" xfId="3" applyNumberFormat="1" applyFont="1" applyFill="1" applyBorder="1"/>
    <xf numFmtId="0" fontId="3" fillId="9" borderId="1" xfId="3" applyFont="1" applyFill="1" applyBorder="1" applyAlignment="1"/>
    <xf numFmtId="167" fontId="4" fillId="4" borderId="1" xfId="3" applyNumberFormat="1" applyFont="1" applyFill="1" applyBorder="1" applyAlignment="1">
      <alignment horizontal="center"/>
    </xf>
    <xf numFmtId="164" fontId="1" fillId="0" borderId="1" xfId="2" applyFont="1" applyFill="1" applyBorder="1" applyAlignment="1" applyProtection="1">
      <alignment wrapText="1"/>
    </xf>
    <xf numFmtId="164" fontId="7" fillId="0" borderId="1" xfId="3" applyNumberFormat="1" applyBorder="1" applyAlignment="1">
      <alignment wrapText="1"/>
    </xf>
    <xf numFmtId="164" fontId="7" fillId="0" borderId="0" xfId="3" applyNumberFormat="1" applyBorder="1" applyAlignment="1">
      <alignment wrapText="1"/>
    </xf>
    <xf numFmtId="164" fontId="1" fillId="0" borderId="0" xfId="3" applyNumberFormat="1" applyFont="1" applyAlignment="1">
      <alignment wrapText="1"/>
    </xf>
    <xf numFmtId="164" fontId="7" fillId="0" borderId="0" xfId="3" applyNumberFormat="1" applyAlignment="1">
      <alignment wrapText="1"/>
    </xf>
    <xf numFmtId="0" fontId="1" fillId="0" borderId="1" xfId="3" applyFont="1" applyBorder="1"/>
    <xf numFmtId="0" fontId="1" fillId="2" borderId="15" xfId="3" applyFont="1" applyFill="1" applyBorder="1" applyAlignment="1">
      <alignment wrapText="1"/>
    </xf>
    <xf numFmtId="0" fontId="1" fillId="0" borderId="0" xfId="3" applyFont="1"/>
    <xf numFmtId="0" fontId="0" fillId="0" borderId="15" xfId="3" applyFont="1" applyBorder="1"/>
    <xf numFmtId="164" fontId="0" fillId="0" borderId="15" xfId="2" applyFont="1" applyFill="1" applyBorder="1" applyAlignment="1" applyProtection="1">
      <alignment wrapText="1"/>
    </xf>
    <xf numFmtId="167" fontId="7" fillId="0" borderId="15" xfId="3" applyNumberFormat="1" applyBorder="1"/>
    <xf numFmtId="0" fontId="7" fillId="0" borderId="15" xfId="3" applyBorder="1" applyAlignment="1">
      <alignment wrapText="1"/>
    </xf>
    <xf numFmtId="0" fontId="5" fillId="0" borderId="0" xfId="0" applyFont="1" applyAlignment="1">
      <alignment wrapText="1"/>
    </xf>
    <xf numFmtId="0" fontId="0" fillId="0" borderId="15" xfId="0" applyFont="1" applyBorder="1"/>
    <xf numFmtId="0" fontId="5" fillId="0" borderId="15" xfId="0" applyFont="1" applyBorder="1" applyAlignment="1">
      <alignment wrapText="1"/>
    </xf>
    <xf numFmtId="165" fontId="7" fillId="0" borderId="0" xfId="6" applyNumberFormat="1" applyFill="1" applyBorder="1" applyAlignment="1" applyProtection="1">
      <alignment wrapText="1"/>
    </xf>
    <xf numFmtId="0" fontId="1" fillId="2" borderId="16" xfId="3" applyFont="1" applyFill="1" applyBorder="1" applyAlignment="1">
      <alignment wrapText="1"/>
    </xf>
    <xf numFmtId="0" fontId="0" fillId="0" borderId="16" xfId="3" applyFont="1" applyBorder="1"/>
    <xf numFmtId="164" fontId="0" fillId="0" borderId="16" xfId="2" applyFont="1" applyFill="1" applyBorder="1" applyAlignment="1" applyProtection="1">
      <alignment wrapText="1"/>
    </xf>
    <xf numFmtId="165" fontId="7" fillId="0" borderId="16" xfId="6" applyNumberFormat="1" applyFill="1" applyBorder="1" applyAlignment="1" applyProtection="1"/>
    <xf numFmtId="0" fontId="0" fillId="0" borderId="16" xfId="0" applyFont="1" applyBorder="1"/>
    <xf numFmtId="0" fontId="6" fillId="0" borderId="16" xfId="3" applyFont="1" applyBorder="1"/>
    <xf numFmtId="0" fontId="0" fillId="0" borderId="16" xfId="3" applyFont="1" applyBorder="1" applyAlignment="1">
      <alignment wrapText="1"/>
    </xf>
    <xf numFmtId="0" fontId="0" fillId="0" borderId="16" xfId="0" applyBorder="1"/>
    <xf numFmtId="0" fontId="9" fillId="0" borderId="0" xfId="5" applyFont="1" applyAlignment="1">
      <alignment horizontal="center" vertical="center" wrapText="1"/>
    </xf>
    <xf numFmtId="0" fontId="9" fillId="0" borderId="0" xfId="5" applyFont="1" applyAlignment="1">
      <alignment vertical="center" wrapText="1"/>
    </xf>
    <xf numFmtId="0" fontId="10" fillId="10" borderId="16" xfId="5" applyFont="1" applyFill="1" applyBorder="1" applyAlignment="1">
      <alignment horizontal="center" vertical="center" wrapText="1"/>
    </xf>
    <xf numFmtId="0" fontId="10" fillId="0" borderId="16" xfId="5" applyFont="1" applyBorder="1" applyAlignment="1">
      <alignment vertical="center" wrapText="1"/>
    </xf>
    <xf numFmtId="0" fontId="9" fillId="0" borderId="0" xfId="5" applyFont="1" applyAlignment="1">
      <alignment horizontal="center" vertical="center"/>
    </xf>
    <xf numFmtId="0" fontId="9" fillId="0" borderId="0" xfId="5" applyFont="1" applyAlignment="1">
      <alignment vertical="center"/>
    </xf>
    <xf numFmtId="0" fontId="10" fillId="11" borderId="16" xfId="5" applyFont="1" applyFill="1" applyBorder="1" applyAlignment="1">
      <alignment horizontal="center" vertical="center" wrapText="1"/>
    </xf>
    <xf numFmtId="0" fontId="13" fillId="0" borderId="0" xfId="5" applyFont="1" applyAlignment="1">
      <alignment vertical="center"/>
    </xf>
    <xf numFmtId="0" fontId="14" fillId="0" borderId="17" xfId="5" applyFont="1" applyFill="1" applyBorder="1" applyAlignment="1">
      <alignment horizontal="center" vertical="center" wrapText="1"/>
    </xf>
    <xf numFmtId="0" fontId="15" fillId="10" borderId="17" xfId="5" applyFont="1" applyFill="1" applyBorder="1" applyAlignment="1" applyProtection="1">
      <alignment horizontal="center" vertical="center"/>
      <protection locked="0"/>
    </xf>
    <xf numFmtId="1" fontId="14" fillId="11" borderId="17" xfId="5" applyNumberFormat="1" applyFont="1" applyFill="1" applyBorder="1" applyAlignment="1">
      <alignment horizontal="center"/>
    </xf>
    <xf numFmtId="1" fontId="14" fillId="11" borderId="17" xfId="5" applyNumberFormat="1" applyFont="1" applyFill="1" applyBorder="1" applyAlignment="1">
      <alignment horizontal="center" vertical="center"/>
    </xf>
    <xf numFmtId="0" fontId="10" fillId="0" borderId="0" xfId="5" applyFont="1" applyFill="1" applyBorder="1" applyAlignment="1">
      <alignment horizontal="center" vertical="center"/>
    </xf>
    <xf numFmtId="1" fontId="10" fillId="0" borderId="0" xfId="5" applyNumberFormat="1" applyFont="1" applyFill="1" applyBorder="1" applyAlignment="1">
      <alignment horizontal="center"/>
    </xf>
    <xf numFmtId="1" fontId="10" fillId="0" borderId="0" xfId="5" applyNumberFormat="1" applyFont="1" applyFill="1" applyBorder="1" applyAlignment="1">
      <alignment horizontal="center" vertical="center"/>
    </xf>
    <xf numFmtId="0" fontId="7" fillId="0" borderId="0" xfId="5" applyFont="1" applyAlignment="1">
      <alignment horizontal="center" vertical="center" wrapText="1"/>
    </xf>
    <xf numFmtId="0" fontId="16" fillId="0" borderId="18" xfId="5" applyFont="1" applyBorder="1" applyAlignment="1">
      <alignment horizontal="center" vertical="center" wrapText="1"/>
    </xf>
    <xf numFmtId="0" fontId="15" fillId="0" borderId="19" xfId="5" applyFont="1" applyBorder="1" applyAlignment="1">
      <alignment horizontal="center" vertical="center" wrapText="1"/>
    </xf>
    <xf numFmtId="0" fontId="15" fillId="10" borderId="19" xfId="5" applyFont="1" applyFill="1" applyBorder="1" applyAlignment="1" applyProtection="1">
      <alignment horizontal="center" vertical="center" wrapText="1"/>
      <protection locked="0"/>
    </xf>
    <xf numFmtId="0" fontId="15" fillId="0" borderId="0" xfId="5" applyFont="1" applyAlignment="1">
      <alignment horizontal="center" vertical="center" wrapText="1"/>
    </xf>
    <xf numFmtId="0" fontId="14" fillId="0" borderId="17" xfId="5" applyFont="1" applyBorder="1" applyAlignment="1">
      <alignment horizontal="center" vertical="center" wrapText="1"/>
    </xf>
    <xf numFmtId="0" fontId="15" fillId="0" borderId="20" xfId="5" applyFont="1" applyBorder="1" applyAlignment="1">
      <alignment horizontal="center" vertical="center" wrapText="1"/>
    </xf>
    <xf numFmtId="0" fontId="15" fillId="10" borderId="21" xfId="5" applyFont="1" applyFill="1" applyBorder="1" applyAlignment="1" applyProtection="1">
      <alignment horizontal="center" vertical="center" wrapText="1"/>
      <protection locked="0"/>
    </xf>
    <xf numFmtId="0" fontId="9" fillId="0" borderId="0" xfId="5" applyFont="1" applyBorder="1" applyAlignment="1">
      <alignment horizontal="center" vertical="center" wrapText="1"/>
    </xf>
    <xf numFmtId="1" fontId="14" fillId="11" borderId="17" xfId="5" applyNumberFormat="1" applyFont="1" applyFill="1" applyBorder="1" applyAlignment="1">
      <alignment horizontal="center" vertical="center" wrapText="1"/>
    </xf>
    <xf numFmtId="0" fontId="9" fillId="12" borderId="0" xfId="5" applyFont="1" applyFill="1" applyAlignment="1">
      <alignment horizontal="center" vertical="center" wrapText="1"/>
    </xf>
    <xf numFmtId="0" fontId="9" fillId="12" borderId="0" xfId="5" applyFont="1" applyFill="1" applyAlignment="1">
      <alignment vertical="center" wrapText="1"/>
    </xf>
    <xf numFmtId="0" fontId="13" fillId="12" borderId="0" xfId="5" applyFont="1" applyFill="1"/>
    <xf numFmtId="0" fontId="16" fillId="0" borderId="22" xfId="5" applyFont="1" applyBorder="1" applyAlignment="1">
      <alignment horizontal="center" vertical="center" wrapText="1"/>
    </xf>
    <xf numFmtId="0" fontId="15" fillId="0" borderId="23" xfId="5" applyFont="1" applyBorder="1" applyAlignment="1">
      <alignment horizontal="center" vertical="center" wrapText="1"/>
    </xf>
    <xf numFmtId="0" fontId="15" fillId="10" borderId="23" xfId="5" applyFont="1" applyFill="1" applyBorder="1" applyAlignment="1" applyProtection="1">
      <alignment horizontal="center" vertical="center" wrapText="1"/>
      <protection locked="0"/>
    </xf>
    <xf numFmtId="0" fontId="14" fillId="0" borderId="24" xfId="5" applyFont="1" applyBorder="1" applyAlignment="1">
      <alignment horizontal="center" vertical="center" wrapText="1"/>
    </xf>
    <xf numFmtId="0" fontId="14" fillId="0" borderId="25" xfId="5" applyFont="1" applyBorder="1" applyAlignment="1">
      <alignment horizontal="center" vertical="center" wrapText="1"/>
    </xf>
    <xf numFmtId="0" fontId="14" fillId="0" borderId="24" xfId="5" applyFont="1" applyFill="1" applyBorder="1" applyAlignment="1">
      <alignment horizontal="center" vertical="center" wrapText="1"/>
    </xf>
    <xf numFmtId="0" fontId="15" fillId="0" borderId="26" xfId="5" applyFont="1" applyBorder="1" applyAlignment="1">
      <alignment horizontal="center" vertical="center" wrapText="1"/>
    </xf>
    <xf numFmtId="0" fontId="15" fillId="10" borderId="23" xfId="5" applyFont="1" applyFill="1" applyBorder="1" applyAlignment="1">
      <alignment horizontal="center" vertical="center" wrapText="1"/>
    </xf>
    <xf numFmtId="166" fontId="9" fillId="0" borderId="0" xfId="5" applyNumberFormat="1" applyFont="1" applyBorder="1" applyAlignment="1">
      <alignment horizontal="center" vertical="center" wrapText="1"/>
    </xf>
    <xf numFmtId="1" fontId="14" fillId="11" borderId="24" xfId="5" applyNumberFormat="1" applyFont="1" applyFill="1" applyBorder="1" applyAlignment="1">
      <alignment horizontal="center" vertical="center" wrapText="1"/>
    </xf>
    <xf numFmtId="1" fontId="14" fillId="11" borderId="25" xfId="5" applyNumberFormat="1" applyFont="1" applyFill="1" applyBorder="1" applyAlignment="1">
      <alignment horizontal="center" vertical="center" wrapText="1"/>
    </xf>
    <xf numFmtId="1" fontId="14" fillId="11" borderId="24" xfId="5" applyNumberFormat="1" applyFont="1" applyFill="1" applyBorder="1" applyAlignment="1">
      <alignment horizontal="center" vertical="center"/>
    </xf>
    <xf numFmtId="0" fontId="15" fillId="0" borderId="27" xfId="5" applyFont="1" applyBorder="1" applyAlignment="1">
      <alignment horizontal="center" vertical="center" wrapText="1"/>
    </xf>
    <xf numFmtId="0" fontId="15" fillId="11" borderId="23" xfId="5" applyFont="1" applyFill="1" applyBorder="1" applyAlignment="1">
      <alignment horizontal="center" vertical="center" wrapText="1"/>
    </xf>
    <xf numFmtId="0" fontId="13" fillId="0" borderId="0" xfId="5" applyFont="1"/>
    <xf numFmtId="9" fontId="15" fillId="10" borderId="23" xfId="5" applyNumberFormat="1" applyFont="1" applyFill="1" applyBorder="1" applyAlignment="1" applyProtection="1">
      <alignment horizontal="center" vertical="center" wrapText="1"/>
      <protection locked="0"/>
    </xf>
    <xf numFmtId="1" fontId="14" fillId="11" borderId="28" xfId="5" applyNumberFormat="1" applyFont="1" applyFill="1" applyBorder="1" applyAlignment="1">
      <alignment horizontal="center" vertical="center" wrapText="1"/>
    </xf>
    <xf numFmtId="0" fontId="16" fillId="10" borderId="23" xfId="5" applyFont="1" applyFill="1" applyBorder="1" applyAlignment="1">
      <alignment horizontal="center" vertical="center" wrapText="1"/>
    </xf>
    <xf numFmtId="1" fontId="15" fillId="10" borderId="23" xfId="5" applyNumberFormat="1" applyFont="1" applyFill="1" applyBorder="1" applyAlignment="1" applyProtection="1">
      <alignment horizontal="center" vertical="center" wrapText="1"/>
      <protection locked="0"/>
    </xf>
    <xf numFmtId="2" fontId="15" fillId="10" borderId="23" xfId="5" applyNumberFormat="1" applyFont="1" applyFill="1" applyBorder="1" applyAlignment="1" applyProtection="1">
      <alignment horizontal="center" vertical="center" wrapText="1"/>
      <protection locked="0"/>
    </xf>
    <xf numFmtId="2" fontId="14" fillId="11" borderId="24" xfId="5" applyNumberFormat="1" applyFont="1" applyFill="1" applyBorder="1" applyAlignment="1">
      <alignment horizontal="center" vertical="center"/>
    </xf>
    <xf numFmtId="166" fontId="15" fillId="0" borderId="0" xfId="5" applyNumberFormat="1" applyFont="1" applyFill="1" applyBorder="1" applyAlignment="1">
      <alignment horizontal="center" vertical="center" wrapText="1"/>
    </xf>
    <xf numFmtId="0" fontId="15" fillId="0" borderId="0" xfId="5" applyFont="1" applyFill="1" applyBorder="1" applyAlignment="1">
      <alignment horizontal="center" vertical="center" wrapText="1"/>
    </xf>
    <xf numFmtId="166" fontId="14" fillId="0" borderId="0" xfId="5" applyNumberFormat="1" applyFont="1" applyFill="1" applyBorder="1" applyAlignment="1">
      <alignment horizontal="center" vertical="center" wrapText="1"/>
    </xf>
    <xf numFmtId="1" fontId="14" fillId="0" borderId="0" xfId="5" applyNumberFormat="1" applyFont="1" applyFill="1" applyBorder="1" applyAlignment="1">
      <alignment horizontal="center" vertical="center" wrapText="1"/>
    </xf>
    <xf numFmtId="1" fontId="14" fillId="0" borderId="0" xfId="5" applyNumberFormat="1" applyFont="1" applyFill="1" applyBorder="1" applyAlignment="1">
      <alignment horizontal="center" vertical="center"/>
    </xf>
    <xf numFmtId="0" fontId="14" fillId="12" borderId="0" xfId="5" applyFont="1" applyFill="1" applyAlignment="1">
      <alignment horizontal="center" vertical="center" wrapText="1"/>
    </xf>
    <xf numFmtId="0" fontId="16" fillId="0" borderId="23" xfId="5" applyFont="1" applyBorder="1" applyAlignment="1">
      <alignment horizontal="center" vertical="center" wrapText="1"/>
    </xf>
    <xf numFmtId="166" fontId="15" fillId="0" borderId="23" xfId="5" applyNumberFormat="1" applyFont="1" applyBorder="1" applyAlignment="1">
      <alignment horizontal="center" vertical="center" wrapText="1"/>
    </xf>
    <xf numFmtId="0" fontId="15" fillId="0" borderId="0" xfId="5" applyFont="1" applyBorder="1" applyAlignment="1">
      <alignment horizontal="center" vertical="center" wrapText="1"/>
    </xf>
    <xf numFmtId="0" fontId="9" fillId="0" borderId="0" xfId="5" applyFont="1" applyFill="1" applyBorder="1" applyAlignment="1">
      <alignment horizontal="center" vertical="center" wrapText="1"/>
    </xf>
    <xf numFmtId="9" fontId="15" fillId="0" borderId="0" xfId="5" applyNumberFormat="1" applyFont="1" applyFill="1" applyBorder="1" applyAlignment="1">
      <alignment horizontal="center" vertical="center" wrapText="1"/>
    </xf>
    <xf numFmtId="0" fontId="10" fillId="0" borderId="0" xfId="5" applyFont="1" applyAlignment="1">
      <alignment vertical="center" wrapText="1"/>
    </xf>
    <xf numFmtId="0" fontId="14" fillId="0" borderId="29" xfId="5" applyFont="1" applyBorder="1" applyAlignment="1">
      <alignment horizontal="center" vertical="center" wrapText="1"/>
    </xf>
    <xf numFmtId="0" fontId="14" fillId="0" borderId="30" xfId="5" applyFont="1" applyBorder="1" applyAlignment="1">
      <alignment horizontal="center" vertical="center" wrapText="1"/>
    </xf>
    <xf numFmtId="0" fontId="15" fillId="0" borderId="22" xfId="5" applyFont="1" applyBorder="1" applyAlignment="1">
      <alignment horizontal="center" vertical="center" wrapText="1"/>
    </xf>
    <xf numFmtId="166" fontId="14" fillId="11" borderId="22" xfId="5" applyNumberFormat="1" applyFont="1" applyFill="1" applyBorder="1" applyAlignment="1">
      <alignment horizontal="center" vertical="center" wrapText="1"/>
    </xf>
    <xf numFmtId="166" fontId="15" fillId="10" borderId="28" xfId="5" applyNumberFormat="1" applyFont="1" applyFill="1" applyBorder="1" applyAlignment="1" applyProtection="1">
      <alignment horizontal="center" vertical="center" wrapText="1"/>
      <protection locked="0"/>
    </xf>
    <xf numFmtId="166" fontId="14" fillId="11" borderId="23" xfId="5" applyNumberFormat="1" applyFont="1" applyFill="1" applyBorder="1" applyAlignment="1">
      <alignment horizontal="center" vertical="center" wrapText="1"/>
    </xf>
    <xf numFmtId="0" fontId="13" fillId="0" borderId="0" xfId="5" applyFont="1" applyFill="1"/>
    <xf numFmtId="0" fontId="9" fillId="0" borderId="0" xfId="5" applyFont="1" applyFill="1" applyAlignment="1">
      <alignment horizontal="center" vertical="center" wrapText="1"/>
    </xf>
    <xf numFmtId="0" fontId="9" fillId="0" borderId="0" xfId="5" applyFont="1" applyFill="1" applyAlignment="1">
      <alignment vertical="center" wrapText="1"/>
    </xf>
    <xf numFmtId="0" fontId="17" fillId="0" borderId="29" xfId="5" applyFont="1" applyBorder="1" applyAlignment="1">
      <alignment horizontal="center" vertical="center" wrapText="1"/>
    </xf>
    <xf numFmtId="0" fontId="14" fillId="0" borderId="0" xfId="5" applyFont="1" applyBorder="1" applyAlignment="1">
      <alignment horizontal="center" vertical="center" wrapText="1"/>
    </xf>
    <xf numFmtId="0" fontId="14" fillId="0" borderId="0" xfId="5" applyFont="1" applyBorder="1" applyAlignment="1">
      <alignment vertical="center" wrapText="1"/>
    </xf>
    <xf numFmtId="0" fontId="12" fillId="0" borderId="31" xfId="5" applyFont="1" applyBorder="1" applyAlignment="1">
      <alignment horizontal="left" vertical="center"/>
    </xf>
    <xf numFmtId="0" fontId="9" fillId="0" borderId="31" xfId="5" applyFont="1" applyBorder="1" applyAlignment="1">
      <alignment vertical="center" wrapText="1"/>
    </xf>
    <xf numFmtId="0" fontId="9" fillId="0" borderId="31" xfId="5" applyFont="1" applyBorder="1" applyAlignment="1">
      <alignment horizontal="center" vertical="center" wrapText="1"/>
    </xf>
    <xf numFmtId="0" fontId="13" fillId="0" borderId="31" xfId="5" applyFont="1" applyBorder="1"/>
    <xf numFmtId="0" fontId="11" fillId="12" borderId="0" xfId="5" applyFont="1" applyFill="1" applyBorder="1" applyAlignment="1">
      <alignment horizontal="left" vertical="center"/>
    </xf>
    <xf numFmtId="0" fontId="9" fillId="12" borderId="0" xfId="5" applyFont="1" applyFill="1" applyBorder="1" applyAlignment="1">
      <alignment vertical="center" wrapText="1"/>
    </xf>
    <xf numFmtId="0" fontId="9" fillId="0" borderId="0" xfId="5" applyFont="1" applyBorder="1" applyAlignment="1">
      <alignment vertical="center" wrapText="1"/>
    </xf>
    <xf numFmtId="0" fontId="13" fillId="0" borderId="0" xfId="5" applyFont="1" applyBorder="1"/>
    <xf numFmtId="0" fontId="15" fillId="0" borderId="23" xfId="5" applyFont="1" applyFill="1" applyBorder="1" applyAlignment="1">
      <alignment horizontal="center" vertical="center" wrapText="1"/>
    </xf>
    <xf numFmtId="166" fontId="15" fillId="10" borderId="23" xfId="5" applyNumberFormat="1" applyFont="1" applyFill="1" applyBorder="1" applyAlignment="1" applyProtection="1">
      <alignment horizontal="center" vertical="center"/>
      <protection locked="0"/>
    </xf>
    <xf numFmtId="166" fontId="15" fillId="10" borderId="32" xfId="5" applyNumberFormat="1" applyFont="1" applyFill="1" applyBorder="1" applyAlignment="1" applyProtection="1">
      <alignment horizontal="center" vertical="center"/>
      <protection locked="0"/>
    </xf>
    <xf numFmtId="0" fontId="9" fillId="0" borderId="33" xfId="5" applyFont="1" applyBorder="1" applyAlignment="1">
      <alignment horizontal="center" vertical="center" wrapText="1"/>
    </xf>
    <xf numFmtId="166" fontId="15" fillId="0" borderId="33" xfId="5" applyNumberFormat="1" applyFont="1" applyBorder="1" applyAlignment="1">
      <alignment horizontal="center" vertical="center" wrapText="1"/>
    </xf>
    <xf numFmtId="166" fontId="13" fillId="0" borderId="0" xfId="5" applyNumberFormat="1" applyFont="1" applyAlignment="1">
      <alignment vertical="center"/>
    </xf>
    <xf numFmtId="166" fontId="14" fillId="11" borderId="34" xfId="5" applyNumberFormat="1" applyFont="1" applyFill="1" applyBorder="1" applyAlignment="1">
      <alignment horizontal="center" vertical="center" wrapText="1"/>
    </xf>
    <xf numFmtId="0" fontId="9" fillId="0" borderId="27" xfId="5" applyFont="1" applyBorder="1" applyAlignment="1">
      <alignment vertical="center" wrapText="1"/>
    </xf>
    <xf numFmtId="0" fontId="12" fillId="0" borderId="0" xfId="5" applyFont="1" applyFill="1" applyAlignment="1">
      <alignment horizontal="center" vertical="center"/>
    </xf>
    <xf numFmtId="167" fontId="0" fillId="0" borderId="15" xfId="3" applyNumberFormat="1" applyFont="1" applyBorder="1"/>
    <xf numFmtId="0" fontId="3" fillId="0" borderId="0" xfId="5" applyFont="1"/>
    <xf numFmtId="0" fontId="7" fillId="0" borderId="0" xfId="5" applyFont="1"/>
    <xf numFmtId="0" fontId="3" fillId="0" borderId="0" xfId="5" applyFont="1" applyFill="1"/>
    <xf numFmtId="0" fontId="7" fillId="0" borderId="0" xfId="5" applyFont="1" applyBorder="1"/>
    <xf numFmtId="2" fontId="7" fillId="0" borderId="0" xfId="5" applyNumberFormat="1" applyFont="1" applyBorder="1" applyAlignment="1">
      <alignment horizontal="right"/>
    </xf>
    <xf numFmtId="170" fontId="7" fillId="0" borderId="39" xfId="5" applyNumberFormat="1" applyFont="1" applyBorder="1"/>
    <xf numFmtId="0" fontId="7" fillId="0" borderId="0" xfId="5" applyFont="1" applyBorder="1" applyAlignment="1">
      <alignment horizontal="right"/>
    </xf>
    <xf numFmtId="0" fontId="3" fillId="0" borderId="0" xfId="5" applyFont="1" applyFill="1" applyBorder="1"/>
    <xf numFmtId="0" fontId="3" fillId="0" borderId="0" xfId="5" applyFont="1" applyBorder="1"/>
    <xf numFmtId="167" fontId="3" fillId="13" borderId="16" xfId="5" applyNumberFormat="1" applyFont="1" applyFill="1" applyBorder="1" applyAlignment="1">
      <alignment horizontal="center"/>
    </xf>
    <xf numFmtId="0" fontId="3" fillId="0" borderId="40" xfId="5" applyFont="1" applyBorder="1"/>
    <xf numFmtId="0" fontId="3" fillId="0" borderId="0" xfId="5"/>
    <xf numFmtId="170" fontId="7" fillId="0" borderId="16" xfId="5" applyNumberFormat="1" applyFont="1" applyFill="1" applyBorder="1" applyAlignment="1">
      <alignment horizontal="center"/>
    </xf>
    <xf numFmtId="0" fontId="3" fillId="0" borderId="40" xfId="5" applyFont="1" applyFill="1" applyBorder="1"/>
    <xf numFmtId="10" fontId="3" fillId="13" borderId="41" xfId="5" applyNumberFormat="1" applyFont="1" applyFill="1" applyBorder="1" applyAlignment="1">
      <alignment horizontal="center"/>
    </xf>
    <xf numFmtId="10" fontId="3" fillId="13" borderId="16" xfId="5" applyNumberFormat="1" applyFont="1" applyFill="1" applyBorder="1" applyAlignment="1">
      <alignment horizontal="center"/>
    </xf>
    <xf numFmtId="0" fontId="7" fillId="0" borderId="0" xfId="5" applyFont="1" applyFill="1" applyBorder="1"/>
    <xf numFmtId="166" fontId="3" fillId="13" borderId="16" xfId="5" applyNumberFormat="1" applyFont="1" applyFill="1" applyBorder="1" applyAlignment="1">
      <alignment horizontal="center"/>
    </xf>
    <xf numFmtId="0" fontId="3" fillId="13" borderId="0" xfId="5" applyFont="1" applyFill="1" applyBorder="1"/>
    <xf numFmtId="0" fontId="28" fillId="13" borderId="40" xfId="5" applyFont="1" applyFill="1" applyBorder="1"/>
    <xf numFmtId="0" fontId="7" fillId="0" borderId="0" xfId="5" applyFont="1" applyAlignment="1">
      <alignment horizontal="right"/>
    </xf>
    <xf numFmtId="0" fontId="3" fillId="0" borderId="42" xfId="5" applyFont="1" applyBorder="1"/>
    <xf numFmtId="166" fontId="3" fillId="13" borderId="43" xfId="5" applyNumberFormat="1" applyFont="1" applyFill="1" applyBorder="1" applyAlignment="1">
      <alignment horizontal="center"/>
    </xf>
    <xf numFmtId="0" fontId="3" fillId="0" borderId="44" xfId="5" applyFont="1" applyBorder="1"/>
    <xf numFmtId="0" fontId="3" fillId="12" borderId="42" xfId="5" applyFont="1" applyFill="1" applyBorder="1"/>
    <xf numFmtId="0" fontId="3" fillId="12" borderId="42" xfId="5" applyFont="1" applyFill="1" applyBorder="1" applyAlignment="1">
      <alignment horizontal="center"/>
    </xf>
    <xf numFmtId="0" fontId="3" fillId="12" borderId="44" xfId="5" applyFont="1" applyFill="1" applyBorder="1"/>
    <xf numFmtId="0" fontId="3" fillId="0" borderId="0" xfId="5" applyFont="1" applyFill="1" applyBorder="1" applyAlignment="1">
      <alignment horizontal="left"/>
    </xf>
    <xf numFmtId="0" fontId="3" fillId="0" borderId="0" xfId="5" applyFont="1" applyAlignment="1">
      <alignment horizontal="center"/>
    </xf>
    <xf numFmtId="167" fontId="7" fillId="0" borderId="0" xfId="5" applyNumberFormat="1" applyFont="1"/>
    <xf numFmtId="10" fontId="7" fillId="0" borderId="16" xfId="5" applyNumberFormat="1" applyFont="1" applyFill="1" applyBorder="1" applyAlignment="1">
      <alignment horizontal="center"/>
    </xf>
    <xf numFmtId="0" fontId="7" fillId="0" borderId="16" xfId="5" applyFont="1" applyFill="1" applyBorder="1" applyAlignment="1">
      <alignment horizontal="center"/>
    </xf>
    <xf numFmtId="10" fontId="7" fillId="0" borderId="41" xfId="5" applyNumberFormat="1" applyFont="1" applyFill="1" applyBorder="1" applyAlignment="1">
      <alignment horizontal="center"/>
    </xf>
    <xf numFmtId="170" fontId="7" fillId="0" borderId="0" xfId="5" applyNumberFormat="1" applyFont="1" applyFill="1" applyBorder="1" applyAlignment="1">
      <alignment horizontal="center"/>
    </xf>
    <xf numFmtId="2" fontId="7" fillId="0" borderId="16" xfId="5" applyNumberFormat="1" applyFont="1" applyFill="1" applyBorder="1" applyAlignment="1">
      <alignment horizontal="center"/>
    </xf>
    <xf numFmtId="2" fontId="7" fillId="0" borderId="0" xfId="5" applyNumberFormat="1" applyFont="1"/>
    <xf numFmtId="0" fontId="29" fillId="0" borderId="0" xfId="5" applyFont="1"/>
    <xf numFmtId="0" fontId="30" fillId="0" borderId="0" xfId="5" applyFont="1"/>
    <xf numFmtId="0" fontId="0" fillId="0" borderId="45" xfId="0" applyBorder="1" applyAlignment="1">
      <alignment wrapText="1"/>
    </xf>
    <xf numFmtId="0" fontId="1" fillId="0" borderId="45" xfId="0" quotePrefix="1" applyFont="1" applyBorder="1" applyAlignment="1">
      <alignment wrapText="1"/>
    </xf>
    <xf numFmtId="0" fontId="7" fillId="0" borderId="16" xfId="6" applyNumberFormat="1" applyFill="1" applyBorder="1" applyAlignment="1" applyProtection="1"/>
    <xf numFmtId="0" fontId="7" fillId="0" borderId="16" xfId="3" applyBorder="1" applyAlignment="1">
      <alignment wrapText="1"/>
    </xf>
    <xf numFmtId="0" fontId="0" fillId="0" borderId="16" xfId="3" applyFont="1" applyFill="1" applyBorder="1" applyAlignment="1">
      <alignment wrapText="1"/>
    </xf>
    <xf numFmtId="0" fontId="1" fillId="2" borderId="46" xfId="3" applyFont="1" applyFill="1" applyBorder="1" applyAlignment="1">
      <alignment wrapText="1"/>
    </xf>
    <xf numFmtId="0" fontId="7" fillId="0" borderId="16" xfId="3" applyBorder="1"/>
    <xf numFmtId="167" fontId="7" fillId="0" borderId="16" xfId="3" applyNumberFormat="1" applyBorder="1"/>
    <xf numFmtId="9" fontId="7" fillId="0" borderId="0" xfId="6"/>
    <xf numFmtId="0" fontId="7" fillId="5" borderId="10" xfId="3" applyFill="1" applyBorder="1" applyAlignment="1">
      <alignment wrapText="1"/>
    </xf>
    <xf numFmtId="9" fontId="7" fillId="0" borderId="16" xfId="6" applyBorder="1"/>
    <xf numFmtId="0" fontId="7" fillId="14" borderId="10" xfId="3" applyFill="1" applyBorder="1" applyAlignment="1">
      <alignment wrapText="1"/>
    </xf>
    <xf numFmtId="0" fontId="7" fillId="14" borderId="1" xfId="3" applyFill="1" applyBorder="1" applyAlignment="1">
      <alignment wrapText="1"/>
    </xf>
    <xf numFmtId="167" fontId="7" fillId="14" borderId="1" xfId="3" applyNumberFormat="1" applyFill="1" applyBorder="1" applyAlignment="1">
      <alignment wrapText="1"/>
    </xf>
    <xf numFmtId="164" fontId="0" fillId="14" borderId="1" xfId="2" applyFont="1" applyFill="1" applyBorder="1" applyAlignment="1" applyProtection="1">
      <alignment wrapText="1"/>
    </xf>
    <xf numFmtId="164" fontId="0" fillId="14" borderId="5" xfId="2" applyFont="1" applyFill="1" applyBorder="1" applyAlignment="1" applyProtection="1">
      <alignment wrapText="1"/>
    </xf>
    <xf numFmtId="165" fontId="0" fillId="15" borderId="1" xfId="3" applyNumberFormat="1" applyFont="1" applyFill="1" applyBorder="1" applyAlignment="1">
      <alignment wrapText="1"/>
    </xf>
    <xf numFmtId="166" fontId="0" fillId="16" borderId="1" xfId="3" applyNumberFormat="1" applyFont="1" applyFill="1" applyBorder="1" applyAlignment="1">
      <alignment wrapText="1"/>
    </xf>
    <xf numFmtId="0" fontId="0" fillId="16" borderId="1" xfId="3" applyFont="1" applyFill="1" applyBorder="1" applyAlignment="1">
      <alignment wrapText="1"/>
    </xf>
    <xf numFmtId="167" fontId="0" fillId="16" borderId="1" xfId="3" applyNumberFormat="1" applyFont="1" applyFill="1" applyBorder="1" applyAlignment="1">
      <alignment wrapText="1"/>
    </xf>
    <xf numFmtId="19" fontId="0" fillId="16" borderId="1" xfId="3" applyNumberFormat="1" applyFont="1" applyFill="1" applyBorder="1" applyAlignment="1">
      <alignment wrapText="1"/>
    </xf>
    <xf numFmtId="164" fontId="0" fillId="16" borderId="1" xfId="2" applyFont="1" applyFill="1" applyBorder="1" applyAlignment="1" applyProtection="1">
      <alignment wrapText="1"/>
    </xf>
    <xf numFmtId="22" fontId="0" fillId="16" borderId="1" xfId="3" applyNumberFormat="1" applyFont="1" applyFill="1" applyBorder="1" applyAlignment="1">
      <alignment wrapText="1"/>
    </xf>
    <xf numFmtId="0" fontId="2" fillId="0" borderId="0" xfId="4"/>
    <xf numFmtId="0" fontId="7" fillId="16" borderId="1" xfId="3" applyFill="1" applyBorder="1" applyAlignment="1">
      <alignment wrapText="1"/>
    </xf>
    <xf numFmtId="0" fontId="0" fillId="0" borderId="52" xfId="0" applyBorder="1" applyAlignment="1">
      <alignment wrapText="1"/>
    </xf>
    <xf numFmtId="165" fontId="7" fillId="0" borderId="16" xfId="6" applyNumberFormat="1" applyFill="1" applyBorder="1" applyAlignment="1" applyProtection="1">
      <alignment wrapText="1"/>
    </xf>
    <xf numFmtId="166" fontId="0" fillId="0" borderId="16" xfId="3" applyNumberFormat="1" applyFont="1" applyBorder="1" applyAlignment="1">
      <alignment wrapText="1"/>
    </xf>
    <xf numFmtId="0" fontId="1" fillId="2" borderId="47" xfId="3" applyFont="1" applyFill="1" applyBorder="1" applyAlignment="1">
      <alignment wrapText="1"/>
    </xf>
    <xf numFmtId="0" fontId="1" fillId="2" borderId="53" xfId="3" applyFont="1" applyFill="1" applyBorder="1" applyAlignment="1">
      <alignment wrapText="1"/>
    </xf>
    <xf numFmtId="0" fontId="1" fillId="2" borderId="54" xfId="3" applyFont="1" applyFill="1" applyBorder="1" applyAlignment="1">
      <alignment wrapText="1"/>
    </xf>
    <xf numFmtId="10" fontId="0" fillId="4" borderId="12" xfId="6" applyNumberFormat="1" applyFont="1" applyFill="1" applyBorder="1" applyAlignment="1" applyProtection="1">
      <alignment horizontal="right" wrapText="1"/>
    </xf>
    <xf numFmtId="0" fontId="1" fillId="2" borderId="48" xfId="3" applyFont="1" applyFill="1" applyBorder="1" applyAlignment="1">
      <alignment wrapText="1"/>
    </xf>
    <xf numFmtId="0" fontId="0" fillId="0" borderId="50" xfId="3" applyFont="1" applyBorder="1" applyAlignment="1">
      <alignment wrapText="1"/>
    </xf>
    <xf numFmtId="0" fontId="7" fillId="0" borderId="4" xfId="3" applyFill="1" applyBorder="1" applyAlignment="1" applyProtection="1">
      <alignment wrapText="1"/>
      <protection locked="0"/>
    </xf>
    <xf numFmtId="0" fontId="0" fillId="0" borderId="7" xfId="3" applyFont="1" applyBorder="1" applyAlignment="1" applyProtection="1">
      <alignment wrapText="1"/>
      <protection locked="0"/>
    </xf>
    <xf numFmtId="0" fontId="7" fillId="0" borderId="8" xfId="3" applyBorder="1" applyAlignment="1" applyProtection="1">
      <alignment wrapText="1"/>
      <protection locked="0"/>
    </xf>
    <xf numFmtId="9" fontId="7" fillId="16" borderId="16" xfId="6" applyFill="1" applyBorder="1"/>
    <xf numFmtId="0" fontId="0" fillId="0" borderId="1" xfId="3" applyFont="1" applyBorder="1" applyAlignment="1" applyProtection="1">
      <alignment wrapText="1"/>
      <protection locked="0"/>
    </xf>
    <xf numFmtId="0" fontId="7" fillId="0" borderId="3" xfId="3" applyBorder="1" applyAlignment="1" applyProtection="1">
      <alignment wrapText="1"/>
      <protection locked="0"/>
    </xf>
    <xf numFmtId="0" fontId="7" fillId="0" borderId="1" xfId="3" applyBorder="1" applyProtection="1">
      <protection locked="0"/>
    </xf>
    <xf numFmtId="0" fontId="7" fillId="0" borderId="3" xfId="3" applyBorder="1" applyProtection="1">
      <protection locked="0"/>
    </xf>
    <xf numFmtId="0" fontId="7" fillId="0" borderId="7" xfId="3" applyBorder="1" applyProtection="1">
      <protection locked="0"/>
    </xf>
    <xf numFmtId="0" fontId="7" fillId="16" borderId="1" xfId="1" applyNumberFormat="1" applyFill="1" applyBorder="1" applyAlignment="1" applyProtection="1">
      <alignment wrapText="1"/>
    </xf>
    <xf numFmtId="0" fontId="7" fillId="0" borderId="1" xfId="3" applyBorder="1" applyAlignment="1" applyProtection="1">
      <alignment wrapText="1"/>
      <protection locked="0"/>
    </xf>
    <xf numFmtId="0" fontId="0" fillId="0" borderId="45" xfId="0" applyBorder="1" applyAlignment="1" applyProtection="1">
      <alignment wrapText="1"/>
      <protection locked="0"/>
    </xf>
    <xf numFmtId="0" fontId="0" fillId="0" borderId="51" xfId="0" applyBorder="1" applyAlignment="1" applyProtection="1">
      <alignment wrapText="1"/>
      <protection locked="0"/>
    </xf>
    <xf numFmtId="0" fontId="0" fillId="0" borderId="1" xfId="0" applyFont="1" applyBorder="1" applyAlignment="1" applyProtection="1">
      <alignment wrapText="1"/>
      <protection locked="0"/>
    </xf>
    <xf numFmtId="0" fontId="15" fillId="10" borderId="23" xfId="5" applyFont="1" applyFill="1" applyBorder="1" applyAlignment="1" applyProtection="1">
      <alignment horizontal="center" vertical="center"/>
      <protection locked="0"/>
    </xf>
    <xf numFmtId="166" fontId="3" fillId="6" borderId="3" xfId="3" applyNumberFormat="1" applyFont="1" applyFill="1" applyBorder="1" applyAlignment="1" applyProtection="1">
      <alignment horizontal="center"/>
      <protection locked="0"/>
    </xf>
    <xf numFmtId="0" fontId="3" fillId="9" borderId="1" xfId="3" applyFont="1" applyFill="1" applyBorder="1" applyAlignment="1" applyProtection="1">
      <alignment horizontal="center"/>
      <protection locked="0"/>
    </xf>
    <xf numFmtId="0" fontId="3" fillId="4" borderId="1" xfId="3" applyFont="1" applyFill="1" applyBorder="1" applyAlignment="1" applyProtection="1">
      <alignment horizontal="center"/>
      <protection locked="0"/>
    </xf>
    <xf numFmtId="14" fontId="3" fillId="4" borderId="1" xfId="3" applyNumberFormat="1" applyFont="1" applyFill="1" applyBorder="1" applyProtection="1">
      <protection locked="0"/>
    </xf>
    <xf numFmtId="0" fontId="3" fillId="4" borderId="1" xfId="3" applyFont="1" applyFill="1" applyBorder="1" applyAlignment="1" applyProtection="1">
      <protection locked="0"/>
    </xf>
    <xf numFmtId="0" fontId="3" fillId="4" borderId="1" xfId="3" applyFont="1" applyFill="1" applyBorder="1" applyProtection="1">
      <protection locked="0"/>
    </xf>
    <xf numFmtId="166" fontId="0" fillId="0" borderId="48" xfId="3" applyNumberFormat="1" applyFont="1" applyBorder="1" applyAlignment="1">
      <alignment horizontal="center" wrapText="1"/>
    </xf>
    <xf numFmtId="166" fontId="0" fillId="0" borderId="50" xfId="3" applyNumberFormat="1" applyFont="1" applyBorder="1" applyAlignment="1">
      <alignment horizontal="center" wrapText="1"/>
    </xf>
    <xf numFmtId="0" fontId="0" fillId="0" borderId="16" xfId="3" applyFont="1" applyBorder="1" applyAlignment="1">
      <alignment horizontal="center" wrapText="1"/>
    </xf>
    <xf numFmtId="0" fontId="1" fillId="2" borderId="16" xfId="3" applyFont="1" applyFill="1" applyBorder="1" applyAlignment="1">
      <alignment horizontal="center" wrapText="1"/>
    </xf>
    <xf numFmtId="0" fontId="1" fillId="2" borderId="48" xfId="3" applyFont="1" applyFill="1" applyBorder="1" applyAlignment="1">
      <alignment horizontal="center" wrapText="1"/>
    </xf>
    <xf numFmtId="0" fontId="1" fillId="2" borderId="50" xfId="3" applyFont="1" applyFill="1" applyBorder="1" applyAlignment="1">
      <alignment horizontal="center" wrapText="1"/>
    </xf>
    <xf numFmtId="0" fontId="1" fillId="3" borderId="16" xfId="3" applyFont="1" applyFill="1" applyBorder="1" applyAlignment="1">
      <alignment horizontal="center" wrapText="1"/>
    </xf>
    <xf numFmtId="0" fontId="0" fillId="0" borderId="48" xfId="3" applyFont="1" applyBorder="1" applyAlignment="1" applyProtection="1">
      <alignment horizontal="center" wrapText="1"/>
      <protection locked="0"/>
    </xf>
    <xf numFmtId="0" fontId="0" fillId="0" borderId="49" xfId="3" applyFont="1" applyBorder="1" applyAlignment="1" applyProtection="1">
      <alignment horizontal="center" wrapText="1"/>
      <protection locked="0"/>
    </xf>
    <xf numFmtId="0" fontId="0" fillId="0" borderId="50" xfId="3" applyFont="1" applyBorder="1" applyAlignment="1" applyProtection="1">
      <alignment horizontal="center" wrapText="1"/>
      <protection locked="0"/>
    </xf>
    <xf numFmtId="0" fontId="0" fillId="0" borderId="48" xfId="3" applyFont="1" applyFill="1" applyBorder="1" applyAlignment="1" applyProtection="1">
      <alignment horizontal="center" wrapText="1"/>
      <protection locked="0"/>
    </xf>
    <xf numFmtId="0" fontId="0" fillId="0" borderId="49" xfId="3" applyFont="1" applyFill="1" applyBorder="1" applyAlignment="1" applyProtection="1">
      <alignment horizontal="center" wrapText="1"/>
      <protection locked="0"/>
    </xf>
    <xf numFmtId="0" fontId="0" fillId="0" borderId="50" xfId="3" applyFont="1" applyFill="1" applyBorder="1" applyAlignment="1" applyProtection="1">
      <alignment horizontal="center" wrapText="1"/>
      <protection locked="0"/>
    </xf>
    <xf numFmtId="0" fontId="0" fillId="0" borderId="16" xfId="3" applyFont="1" applyFill="1" applyBorder="1" applyAlignment="1">
      <alignment horizontal="center" wrapText="1"/>
    </xf>
    <xf numFmtId="0" fontId="0" fillId="0" borderId="16" xfId="3" applyFont="1" applyFill="1" applyBorder="1" applyAlignment="1" applyProtection="1">
      <alignment horizontal="center" wrapText="1"/>
      <protection locked="0"/>
    </xf>
    <xf numFmtId="0" fontId="7" fillId="0" borderId="48" xfId="3" applyFill="1" applyBorder="1" applyAlignment="1" applyProtection="1">
      <alignment horizontal="center" wrapText="1"/>
      <protection locked="0"/>
    </xf>
    <xf numFmtId="0" fontId="7" fillId="0" borderId="49" xfId="3" applyFill="1" applyBorder="1" applyAlignment="1" applyProtection="1">
      <alignment horizontal="center" wrapText="1"/>
      <protection locked="0"/>
    </xf>
    <xf numFmtId="0" fontId="7" fillId="0" borderId="50" xfId="3" applyFill="1" applyBorder="1" applyAlignment="1" applyProtection="1">
      <alignment horizontal="center" wrapText="1"/>
      <protection locked="0"/>
    </xf>
    <xf numFmtId="0" fontId="7" fillId="0" borderId="2" xfId="3" applyBorder="1" applyAlignment="1">
      <alignment horizontal="center" wrapText="1"/>
    </xf>
    <xf numFmtId="0" fontId="1" fillId="0" borderId="9" xfId="3" applyFont="1" applyBorder="1" applyAlignment="1">
      <alignment horizontal="center" wrapText="1"/>
    </xf>
    <xf numFmtId="0" fontId="1" fillId="3" borderId="35" xfId="3" applyFont="1" applyFill="1" applyBorder="1" applyAlignment="1">
      <alignment horizontal="center" wrapText="1"/>
    </xf>
    <xf numFmtId="0" fontId="1" fillId="3" borderId="36" xfId="3" applyFont="1" applyFill="1" applyBorder="1" applyAlignment="1">
      <alignment horizontal="center" wrapText="1"/>
    </xf>
    <xf numFmtId="0" fontId="0" fillId="4" borderId="37" xfId="3" applyFont="1" applyFill="1" applyBorder="1" applyAlignment="1">
      <alignment horizontal="center" wrapText="1"/>
    </xf>
    <xf numFmtId="0" fontId="1" fillId="3" borderId="9" xfId="3" applyFont="1" applyFill="1" applyBorder="1" applyAlignment="1">
      <alignment horizontal="center" wrapText="1"/>
    </xf>
    <xf numFmtId="0" fontId="1" fillId="3" borderId="1" xfId="3" applyFont="1" applyFill="1" applyBorder="1" applyAlignment="1">
      <alignment horizontal="center" wrapText="1"/>
    </xf>
    <xf numFmtId="0" fontId="0" fillId="4" borderId="1" xfId="3" applyFont="1" applyFill="1" applyBorder="1" applyAlignment="1">
      <alignment horizontal="center" wrapText="1"/>
    </xf>
    <xf numFmtId="0" fontId="1" fillId="7" borderId="1" xfId="3" applyFont="1" applyFill="1" applyBorder="1" applyAlignment="1">
      <alignment horizontal="right" wrapText="1"/>
    </xf>
    <xf numFmtId="0" fontId="7" fillId="0" borderId="3" xfId="3" applyFill="1" applyBorder="1" applyAlignment="1">
      <alignment horizontal="center"/>
    </xf>
    <xf numFmtId="0" fontId="11" fillId="12" borderId="0" xfId="5" applyFont="1" applyFill="1" applyAlignment="1">
      <alignment horizontal="left" vertical="center"/>
    </xf>
    <xf numFmtId="0" fontId="13" fillId="0" borderId="0" xfId="5" applyFont="1" applyAlignment="1">
      <alignment vertical="center"/>
    </xf>
    <xf numFmtId="0" fontId="11" fillId="12" borderId="0" xfId="5" applyFont="1" applyFill="1" applyAlignment="1">
      <alignment horizontal="left" vertical="center" wrapText="1"/>
    </xf>
    <xf numFmtId="0" fontId="8" fillId="0" borderId="0" xfId="5" applyFont="1" applyAlignment="1">
      <alignment vertical="center" wrapText="1"/>
    </xf>
    <xf numFmtId="0" fontId="3" fillId="0" borderId="0" xfId="5" applyAlignment="1">
      <alignment vertical="center" wrapText="1"/>
    </xf>
    <xf numFmtId="0" fontId="11" fillId="12" borderId="38" xfId="5" applyFont="1" applyFill="1" applyBorder="1" applyAlignment="1">
      <alignment horizontal="left" vertical="center"/>
    </xf>
    <xf numFmtId="0" fontId="13" fillId="0" borderId="38" xfId="5" applyFont="1" applyBorder="1" applyAlignment="1">
      <alignment vertical="center"/>
    </xf>
    <xf numFmtId="0" fontId="13" fillId="12" borderId="38" xfId="5" applyFont="1" applyFill="1" applyBorder="1" applyAlignment="1">
      <alignment vertical="center"/>
    </xf>
    <xf numFmtId="0" fontId="12" fillId="12" borderId="0" xfId="5" applyFont="1" applyFill="1" applyAlignment="1">
      <alignment horizontal="left" vertical="center"/>
    </xf>
  </cellXfs>
  <cellStyles count="7">
    <cellStyle name="Comma" xfId="1" builtinId="3"/>
    <cellStyle name="Currency" xfId="2" builtinId="4"/>
    <cellStyle name="Excel Built-in Normal" xfId="3"/>
    <cellStyle name="Hyperlink" xfId="4" builtinId="8"/>
    <cellStyle name="Normal" xfId="0" builtinId="0"/>
    <cellStyle name="Normal 2" xfId="5"/>
    <cellStyle name="Percent" xfId="6" builtinId="5"/>
  </cellStyles>
  <dxfs count="9">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val="0"/>
        <condense val="0"/>
        <extend val="0"/>
        <color indexed="57"/>
      </font>
      <fill>
        <patternFill patternType="solid">
          <fgColor indexed="21"/>
          <bgColor indexed="57"/>
        </patternFill>
      </fill>
    </dxf>
    <dxf>
      <font>
        <b val="0"/>
        <condense val="0"/>
        <extend val="0"/>
        <color indexed="13"/>
      </font>
      <fill>
        <patternFill patternType="solid">
          <fgColor indexed="34"/>
          <bgColor indexed="13"/>
        </patternFill>
      </fill>
    </dxf>
    <dxf>
      <font>
        <b val="0"/>
        <condense val="0"/>
        <extend val="0"/>
        <color indexed="10"/>
      </font>
      <fill>
        <patternFill patternType="solid">
          <fgColor indexed="60"/>
          <bgColor indexed="10"/>
        </patternFill>
      </fill>
    </dxf>
    <dxf>
      <fill>
        <patternFill patternType="solid">
          <fgColor indexed="58"/>
          <bgColor indexed="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B9CDE5"/>
      <rgbColor rgb="00000080"/>
      <rgbColor rgb="00FF00FF"/>
      <rgbColor rgb="00FFFF00"/>
      <rgbColor rgb="0000FFFF"/>
      <rgbColor rgb="00800080"/>
      <rgbColor rgb="00800000"/>
      <rgbColor rgb="00008080"/>
      <rgbColor rgb="000000FF"/>
      <rgbColor rgb="0000CCFF"/>
      <rgbColor rgb="00DBEEF4"/>
      <rgbColor rgb="00DCE6F2"/>
      <rgbColor rgb="00FFFF99"/>
      <rgbColor rgb="0099CCFF"/>
      <rgbColor rgb="00FF99CC"/>
      <rgbColor rgb="00CC99FF"/>
      <rgbColor rgb="00FAC090"/>
      <rgbColor rgb="003366FF"/>
      <rgbColor rgb="0033CCCC"/>
      <rgbColor rgb="0099CC00"/>
      <rgbColor rgb="00FFCC00"/>
      <rgbColor rgb="00FF9900"/>
      <rgbColor rgb="00FF6600"/>
      <rgbColor rgb="00666699"/>
      <rgbColor rgb="00969696"/>
      <rgbColor rgb="00003366"/>
      <rgbColor rgb="0000B050"/>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0</xdr:colOff>
          <xdr:row>0</xdr:row>
          <xdr:rowOff>0</xdr:rowOff>
        </xdr:from>
        <xdr:to>
          <xdr:col>9</xdr:col>
          <xdr:colOff>19050</xdr:colOff>
          <xdr:row>0</xdr:row>
          <xdr:rowOff>152400</xdr:rowOff>
        </xdr:to>
        <xdr:sp macro="" textlink="">
          <xdr:nvSpPr>
            <xdr:cNvPr id="3075" name="Button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Set Start Time</a:t>
              </a:r>
              <a:endParaRPr lang="en-US"/>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9525</xdr:colOff>
          <xdr:row>6</xdr:row>
          <xdr:rowOff>142875</xdr:rowOff>
        </xdr:from>
        <xdr:to>
          <xdr:col>4</xdr:col>
          <xdr:colOff>1543050</xdr:colOff>
          <xdr:row>7</xdr:row>
          <xdr:rowOff>133350</xdr:rowOff>
        </xdr:to>
        <xdr:sp macro="" textlink="">
          <xdr:nvSpPr>
            <xdr:cNvPr id="5123" name="Button 3" hidden="1">
              <a:extLst>
                <a:ext uri="{63B3BB69-23CF-44E3-9099-C40C66FF867C}">
                  <a14:compatExt spid="_x0000_s51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Button 3</a:t>
              </a:r>
              <a:endParaRPr lang="en-US"/>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hyperlink" Target="http://www.homebrewtalk.com/wiki/index.php/Malts_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62"/>
  <sheetViews>
    <sheetView view="pageBreakPreview" topLeftCell="A10" zoomScaleNormal="100" zoomScaleSheetLayoutView="100" workbookViewId="0">
      <selection activeCell="B51" sqref="B51"/>
    </sheetView>
  </sheetViews>
  <sheetFormatPr defaultRowHeight="12.75" outlineLevelRow="1" x14ac:dyDescent="0.2"/>
  <cols>
    <col min="1" max="1" width="23.7109375" style="1" customWidth="1"/>
    <col min="2" max="2" width="16.140625" style="1" customWidth="1"/>
    <col min="3" max="3" width="12.5703125" style="1" customWidth="1"/>
    <col min="4" max="4" width="14.28515625" style="1" customWidth="1"/>
    <col min="5" max="5" width="18.85546875" style="1" customWidth="1"/>
    <col min="6" max="7" width="11.5703125" style="1" customWidth="1"/>
    <col min="8" max="8" width="14.42578125" style="1" customWidth="1"/>
    <col min="9" max="9" width="21.85546875" style="1" customWidth="1"/>
    <col min="10" max="10" width="25.28515625" style="1" customWidth="1"/>
    <col min="11" max="11" width="15.28515625" style="2" customWidth="1"/>
    <col min="12" max="14" width="15.28515625" style="1" customWidth="1"/>
    <col min="15" max="16384" width="9.140625" style="1"/>
  </cols>
  <sheetData>
    <row r="1" spans="1:11" ht="12.75" customHeight="1" x14ac:dyDescent="0.2">
      <c r="A1" s="288" t="s">
        <v>0</v>
      </c>
      <c r="B1" s="288"/>
      <c r="C1" s="288"/>
      <c r="D1" s="288"/>
      <c r="E1" s="288"/>
      <c r="F1" s="288"/>
    </row>
    <row r="2" spans="1:11" ht="25.5" customHeight="1" x14ac:dyDescent="0.2">
      <c r="A2" s="96" t="s">
        <v>1</v>
      </c>
      <c r="B2" s="289" t="s">
        <v>510</v>
      </c>
      <c r="C2" s="290"/>
      <c r="D2" s="290"/>
      <c r="E2" s="290"/>
      <c r="F2" s="291"/>
    </row>
    <row r="3" spans="1:11" ht="12.75" customHeight="1" x14ac:dyDescent="0.2">
      <c r="A3" s="96" t="s">
        <v>2</v>
      </c>
      <c r="B3" s="289" t="s">
        <v>511</v>
      </c>
      <c r="C3" s="290"/>
      <c r="D3" s="290"/>
      <c r="E3" s="290"/>
      <c r="F3" s="291"/>
    </row>
    <row r="4" spans="1:11" x14ac:dyDescent="0.2">
      <c r="A4" s="295" t="s">
        <v>3</v>
      </c>
      <c r="B4" s="296" t="s">
        <v>247</v>
      </c>
      <c r="C4" s="296"/>
      <c r="D4" s="231" t="str">
        <f>IF(ISBLANK(B4),"",VLOOKUP(B4,Yeast_Table,2,FALSE))</f>
        <v>WLP001</v>
      </c>
      <c r="E4" s="230" t="str">
        <f>IF(ISBLANK(B4),"",VLOOKUP(B4,Yeast_Table,5,FALSE) &amp;" : " &amp; VLOOKUP(B4,Yeast_Table,4,FALSE))</f>
        <v>Liquid : ALE</v>
      </c>
      <c r="F4" s="231">
        <f>IF(ISBLANK(B4),"",VLOOKUP(B4,Yeast_Table,6,FALSE))</f>
        <v>5.65</v>
      </c>
    </row>
    <row r="5" spans="1:11" x14ac:dyDescent="0.2">
      <c r="A5" s="295"/>
      <c r="B5" s="296" t="s">
        <v>504</v>
      </c>
      <c r="C5" s="296"/>
      <c r="D5" s="231" t="str">
        <f>IF(ISBLANK(B5),"",VLOOKUP(B5,Yeast_Table,2,FALSE))</f>
        <v>XXXX</v>
      </c>
      <c r="E5" s="230" t="str">
        <f>IF(ISBLANK(B5),"",VLOOKUP(B5,Yeast_Table,5,FALSE) &amp;" : " &amp; VLOOKUP(B5,Yeast_Table,4,FALSE))</f>
        <v>Liquid : Repitch</v>
      </c>
      <c r="F5" s="231">
        <f>IF(ISBLANK(B5),"",VLOOKUP(B5,Yeast_Table,6,FALSE))</f>
        <v>-5.65</v>
      </c>
    </row>
    <row r="6" spans="1:11" ht="12.75" customHeight="1" x14ac:dyDescent="0.2">
      <c r="A6" s="231" t="s">
        <v>4</v>
      </c>
      <c r="B6" s="292">
        <v>11.5</v>
      </c>
      <c r="C6" s="293"/>
      <c r="D6" s="293"/>
      <c r="E6" s="293"/>
      <c r="F6" s="294"/>
    </row>
    <row r="7" spans="1:11" ht="12.75" customHeight="1" x14ac:dyDescent="0.2">
      <c r="A7" s="231" t="s">
        <v>5</v>
      </c>
      <c r="B7" s="292">
        <v>10</v>
      </c>
      <c r="C7" s="293"/>
      <c r="D7" s="293"/>
      <c r="E7" s="293"/>
      <c r="F7" s="294"/>
    </row>
    <row r="8" spans="1:11" x14ac:dyDescent="0.2">
      <c r="A8" s="231" t="s">
        <v>6</v>
      </c>
      <c r="B8" s="297">
        <v>155</v>
      </c>
      <c r="C8" s="298"/>
      <c r="D8" s="298"/>
      <c r="E8" s="298"/>
      <c r="F8" s="299"/>
    </row>
    <row r="9" spans="1:11" ht="12.75" customHeight="1" x14ac:dyDescent="0.2">
      <c r="A9" s="288" t="s">
        <v>506</v>
      </c>
      <c r="B9" s="288"/>
      <c r="C9" s="288"/>
      <c r="D9" s="288"/>
      <c r="E9" s="288"/>
      <c r="F9" s="288"/>
      <c r="G9" s="3"/>
      <c r="H9" s="3"/>
    </row>
    <row r="10" spans="1:11" s="6" customFormat="1" ht="25.5" customHeight="1" outlineLevel="1" x14ac:dyDescent="0.2">
      <c r="A10" s="285" t="s">
        <v>8</v>
      </c>
      <c r="B10" s="285"/>
      <c r="C10" s="285" t="s">
        <v>10</v>
      </c>
      <c r="D10" s="285"/>
      <c r="E10" s="259" t="s">
        <v>499</v>
      </c>
      <c r="F10" s="259" t="s">
        <v>11</v>
      </c>
      <c r="G10" s="3"/>
      <c r="H10" s="3"/>
    </row>
    <row r="11" spans="1:11" outlineLevel="1" x14ac:dyDescent="0.2">
      <c r="A11" s="284" t="str">
        <f>IF(ISBLANK(GrainBill!B3),"",GrainBill!B3)</f>
        <v>American 2-Row Barley</v>
      </c>
      <c r="B11" s="284"/>
      <c r="C11" s="284">
        <f>IF(ISBLANK(GrainBill!B3),"",GrainBill!C3)</f>
        <v>22</v>
      </c>
      <c r="D11" s="284"/>
      <c r="E11" s="237">
        <f>IF(ISBLANK(GrainBill!B3),"",GrainBill!D3)</f>
        <v>0.7857142857142857</v>
      </c>
      <c r="F11" s="260">
        <f>IF(ISBLANK(GrainBill!B3),"",GrainBill!E3)</f>
        <v>3</v>
      </c>
      <c r="G11" s="2"/>
      <c r="H11" s="2"/>
    </row>
    <row r="12" spans="1:11" outlineLevel="1" x14ac:dyDescent="0.2">
      <c r="A12" s="284" t="str">
        <f>IF(ISBLANK(GrainBill!B4),"",GrainBill!B4)</f>
        <v>Carastan (Crystal), 15</v>
      </c>
      <c r="B12" s="284"/>
      <c r="C12" s="284">
        <f>IF(ISBLANK(GrainBill!B4),"",GrainBill!C4)</f>
        <v>4</v>
      </c>
      <c r="D12" s="284"/>
      <c r="E12" s="237">
        <f>IF(ISBLANK(GrainBill!B4),"",GrainBill!D4)</f>
        <v>0.14285714285714285</v>
      </c>
      <c r="F12" s="260">
        <f>IF(ISBLANK(GrainBill!B4),"",GrainBill!E4)</f>
        <v>15</v>
      </c>
      <c r="G12" s="2"/>
      <c r="H12" s="2"/>
      <c r="K12" s="1"/>
    </row>
    <row r="13" spans="1:11" outlineLevel="1" x14ac:dyDescent="0.2">
      <c r="A13" s="284" t="str">
        <f>IF(ISBLANK(GrainBill!B5),"",GrainBill!B5)</f>
        <v>Crystal 60</v>
      </c>
      <c r="B13" s="284"/>
      <c r="C13" s="284">
        <f>IF(ISBLANK(GrainBill!B5),"",GrainBill!C5)</f>
        <v>2</v>
      </c>
      <c r="D13" s="284"/>
      <c r="E13" s="237">
        <f>IF(ISBLANK(GrainBill!B5),"",GrainBill!D5)</f>
        <v>7.1428571428571425E-2</v>
      </c>
      <c r="F13" s="260">
        <f>IF(ISBLANK(GrainBill!B5),"",GrainBill!E5)</f>
        <v>60</v>
      </c>
      <c r="G13" s="2"/>
      <c r="H13" s="2"/>
    </row>
    <row r="14" spans="1:11" outlineLevel="1" x14ac:dyDescent="0.2">
      <c r="A14" s="284" t="str">
        <f>IF(ISBLANK(GrainBill!B6),"",GrainBill!B6)</f>
        <v/>
      </c>
      <c r="B14" s="284"/>
      <c r="C14" s="284" t="str">
        <f>IF(ISBLANK(GrainBill!B6),"",GrainBill!C6)</f>
        <v/>
      </c>
      <c r="D14" s="284"/>
      <c r="E14" s="237" t="str">
        <f>IF(ISBLANK(GrainBill!B6),"",GrainBill!D6)</f>
        <v/>
      </c>
      <c r="F14" s="260" t="str">
        <f>IF(ISBLANK(GrainBill!B6),"",GrainBill!E6)</f>
        <v/>
      </c>
      <c r="G14" s="2"/>
      <c r="H14" s="2"/>
    </row>
    <row r="15" spans="1:11" outlineLevel="1" x14ac:dyDescent="0.2">
      <c r="A15" s="284" t="str">
        <f>IF(ISBLANK(GrainBill!B7),"",GrainBill!B7)</f>
        <v/>
      </c>
      <c r="B15" s="284"/>
      <c r="C15" s="284" t="str">
        <f>IF(ISBLANK(GrainBill!B7),"",GrainBill!C7)</f>
        <v/>
      </c>
      <c r="D15" s="284"/>
      <c r="E15" s="237" t="str">
        <f>IF(ISBLANK(GrainBill!B7),"",GrainBill!D7)</f>
        <v/>
      </c>
      <c r="F15" s="260" t="str">
        <f>IF(ISBLANK(GrainBill!B7),"",GrainBill!E7)</f>
        <v/>
      </c>
      <c r="G15" s="2"/>
      <c r="H15" s="2"/>
      <c r="I15" s="9"/>
    </row>
    <row r="16" spans="1:11" ht="12.75" customHeight="1" outlineLevel="1" x14ac:dyDescent="0.2">
      <c r="A16" s="284" t="str">
        <f>IF(ISBLANK(GrainBill!B8),"",GrainBill!B8)</f>
        <v/>
      </c>
      <c r="B16" s="284"/>
      <c r="C16" s="284" t="str">
        <f>IF(ISBLANK(GrainBill!B8),"",GrainBill!C8)</f>
        <v/>
      </c>
      <c r="D16" s="284"/>
      <c r="E16" s="237" t="str">
        <f>IF(ISBLANK(GrainBill!B8),"",GrainBill!D8)</f>
        <v/>
      </c>
      <c r="F16" s="260" t="str">
        <f>IF(ISBLANK(GrainBill!B8),"",GrainBill!E8)</f>
        <v/>
      </c>
      <c r="G16" s="2"/>
      <c r="H16" s="2"/>
      <c r="I16" s="9"/>
    </row>
    <row r="17" spans="1:11" ht="12.75" customHeight="1" x14ac:dyDescent="0.2">
      <c r="A17" s="288" t="s">
        <v>12</v>
      </c>
      <c r="B17" s="288"/>
      <c r="C17" s="288"/>
      <c r="D17" s="288" t="s">
        <v>13</v>
      </c>
      <c r="E17" s="288"/>
      <c r="F17" s="288"/>
      <c r="G17" s="3"/>
      <c r="H17" s="3"/>
      <c r="I17" s="9"/>
    </row>
    <row r="18" spans="1:11" ht="25.5" hidden="1" outlineLevel="1" x14ac:dyDescent="0.2">
      <c r="A18" s="90" t="s">
        <v>8</v>
      </c>
      <c r="B18" s="285" t="s">
        <v>10</v>
      </c>
      <c r="C18" s="285"/>
      <c r="D18" s="285" t="s">
        <v>8</v>
      </c>
      <c r="E18" s="285"/>
      <c r="F18" s="90" t="s">
        <v>10</v>
      </c>
      <c r="G18" s="3"/>
      <c r="H18" s="3"/>
      <c r="I18" s="9"/>
    </row>
    <row r="19" spans="1:11" hidden="1" outlineLevel="1" x14ac:dyDescent="0.2">
      <c r="A19" s="96" t="str">
        <f>IF(ISBLANK(Adjuncts!A3),"",Adjuncts!A3)</f>
        <v>Dark Brown Sugar</v>
      </c>
      <c r="B19" s="284">
        <f>IF(ISBLANK(Adjuncts!A3),"",Adjuncts!C3)</f>
        <v>3</v>
      </c>
      <c r="C19" s="284"/>
      <c r="D19" s="284" t="str">
        <f>IF(ISBLANK(Adjuncts!A9),"",Adjuncts!A9)</f>
        <v/>
      </c>
      <c r="E19" s="284"/>
      <c r="F19" s="230" t="str">
        <f>IF(ISBLANK(Adjuncts!A9),"",Adjuncts!C9)</f>
        <v/>
      </c>
      <c r="G19" s="2"/>
      <c r="H19" s="2"/>
    </row>
    <row r="20" spans="1:11" hidden="1" outlineLevel="1" x14ac:dyDescent="0.2">
      <c r="A20" s="96" t="str">
        <f>IF(ISBLANK(Adjuncts!A4),"",Adjuncts!A4)</f>
        <v/>
      </c>
      <c r="B20" s="284" t="str">
        <f>IF(ISBLANK(Adjuncts!A4),"",Adjuncts!C4)</f>
        <v/>
      </c>
      <c r="C20" s="284"/>
      <c r="D20" s="284" t="str">
        <f>IF(ISBLANK(Adjuncts!A10),"",Adjuncts!A10)</f>
        <v/>
      </c>
      <c r="E20" s="284"/>
      <c r="F20" s="230" t="str">
        <f>IF(ISBLANK(Adjuncts!A10),"",Adjuncts!C10)</f>
        <v/>
      </c>
      <c r="G20" s="2"/>
      <c r="H20" s="2"/>
    </row>
    <row r="21" spans="1:11" hidden="1" outlineLevel="1" x14ac:dyDescent="0.2">
      <c r="A21" s="96" t="str">
        <f>IF(ISBLANK(Adjuncts!A5),"",Adjuncts!A5)</f>
        <v/>
      </c>
      <c r="B21" s="284" t="str">
        <f>IF(ISBLANK(Adjuncts!A5),"",Adjuncts!C5)</f>
        <v/>
      </c>
      <c r="C21" s="284"/>
      <c r="D21" s="284" t="str">
        <f>IF(ISBLANK(Adjuncts!A11),"",Adjuncts!A11)</f>
        <v/>
      </c>
      <c r="E21" s="284"/>
      <c r="F21" s="230" t="str">
        <f>IF(ISBLANK(Adjuncts!A11),"",Adjuncts!C11)</f>
        <v/>
      </c>
      <c r="G21" s="2"/>
      <c r="H21" s="2"/>
    </row>
    <row r="22" spans="1:11" hidden="1" outlineLevel="1" x14ac:dyDescent="0.2">
      <c r="A22" s="96" t="str">
        <f>IF(ISBLANK(Adjuncts!A6),"",Adjuncts!A6)</f>
        <v/>
      </c>
      <c r="B22" s="284" t="str">
        <f>IF(ISBLANK(Adjuncts!A6),"",Adjuncts!C6)</f>
        <v/>
      </c>
      <c r="C22" s="284"/>
      <c r="D22" s="284" t="str">
        <f>IF(ISBLANK(Adjuncts!A12),"",Adjuncts!A12)</f>
        <v/>
      </c>
      <c r="E22" s="284"/>
      <c r="F22" s="230" t="str">
        <f>IF(ISBLANK(Adjuncts!A12),"",Adjuncts!C12)</f>
        <v/>
      </c>
      <c r="G22" s="2"/>
      <c r="H22" s="2"/>
    </row>
    <row r="23" spans="1:11" ht="12.75" customHeight="1" collapsed="1" x14ac:dyDescent="0.2">
      <c r="A23" s="288" t="s">
        <v>483</v>
      </c>
      <c r="B23" s="288"/>
      <c r="C23" s="288"/>
      <c r="D23" s="288"/>
      <c r="E23" s="288"/>
      <c r="F23" s="288"/>
      <c r="G23" s="3"/>
      <c r="H23" s="3"/>
      <c r="I23" s="3"/>
      <c r="J23" s="3"/>
    </row>
    <row r="24" spans="1:11" s="6" customFormat="1" ht="25.5" outlineLevel="1" x14ac:dyDescent="0.2">
      <c r="A24" s="90" t="s">
        <v>8</v>
      </c>
      <c r="B24" s="90" t="s">
        <v>15</v>
      </c>
      <c r="C24" s="90" t="s">
        <v>16</v>
      </c>
      <c r="D24" s="90" t="s">
        <v>17</v>
      </c>
      <c r="E24" s="286" t="s">
        <v>18</v>
      </c>
      <c r="F24" s="287"/>
      <c r="J24" s="3"/>
      <c r="K24" s="11"/>
    </row>
    <row r="25" spans="1:11" s="12" customFormat="1" outlineLevel="1" x14ac:dyDescent="0.2">
      <c r="A25" s="96" t="str">
        <f>IF( ISBLANK(HopSchedule!B3),"",HopSchedule!B3)</f>
        <v>Centennial</v>
      </c>
      <c r="B25" s="253">
        <f>IF(ISBLANK(HopSchedule!B3),"",HopSchedule!C3)</f>
        <v>0.08</v>
      </c>
      <c r="C25" s="254">
        <f>IF(ISBLANK(HopSchedule!B3),"",HopSchedule!D3)</f>
        <v>2</v>
      </c>
      <c r="D25" s="96">
        <f>IF(ISBLANK(HopSchedule!B3),"",HopSchedule!E3)</f>
        <v>60</v>
      </c>
      <c r="E25" s="282">
        <f>IF(ISBLANK(HopSchedule!F3),"",HopSchedule!F3)</f>
        <v>25.097027190214892</v>
      </c>
      <c r="F25" s="283"/>
      <c r="J25" s="2"/>
      <c r="K25" s="2"/>
    </row>
    <row r="26" spans="1:11" s="12" customFormat="1" outlineLevel="1" x14ac:dyDescent="0.2">
      <c r="A26" s="96" t="str">
        <f>IF( ISBLANK(HopSchedule!B4),"",HopSchedule!B4)</f>
        <v>Cascade (U.S.)</v>
      </c>
      <c r="B26" s="253">
        <f>IF(ISBLANK(HopSchedule!B4),"",HopSchedule!C4)</f>
        <v>5.4000000000000006E-2</v>
      </c>
      <c r="C26" s="254">
        <f>IF(ISBLANK(HopSchedule!B4),"",HopSchedule!D4)</f>
        <v>1.25</v>
      </c>
      <c r="D26" s="96">
        <f>IF(ISBLANK(HopSchedule!B4),"",HopSchedule!E4)</f>
        <v>15</v>
      </c>
      <c r="E26" s="282">
        <f>IF(ISBLANK(HopSchedule!F4),"",HopSchedule!F4)</f>
        <v>5.2537009195392645</v>
      </c>
      <c r="F26" s="283"/>
      <c r="J26" s="2"/>
      <c r="K26" s="2"/>
    </row>
    <row r="27" spans="1:11" s="12" customFormat="1" outlineLevel="1" x14ac:dyDescent="0.2">
      <c r="A27" s="96" t="str">
        <f>IF( ISBLANK(HopSchedule!B5),"",HopSchedule!B5)</f>
        <v>Cascade (U.S.)</v>
      </c>
      <c r="B27" s="253">
        <f>IF(ISBLANK(HopSchedule!B5),"",HopSchedule!C5)</f>
        <v>5.4000000000000006E-2</v>
      </c>
      <c r="C27" s="254">
        <f>IF(ISBLANK(HopSchedule!B5),"",HopSchedule!D5)</f>
        <v>1</v>
      </c>
      <c r="D27" s="96">
        <f>IF(ISBLANK(HopSchedule!B5),"",HopSchedule!E5)</f>
        <v>1</v>
      </c>
      <c r="E27" s="282">
        <f>IF(ISBLANK(HopSchedule!F5),"",HopSchedule!F5)</f>
        <v>0.36525863884915255</v>
      </c>
      <c r="F27" s="283"/>
      <c r="J27" s="2"/>
      <c r="K27" s="2"/>
    </row>
    <row r="28" spans="1:11" s="12" customFormat="1" outlineLevel="1" x14ac:dyDescent="0.2">
      <c r="A28" s="96" t="str">
        <f>IF( ISBLANK(HopSchedule!B6),"",HopSchedule!B6)</f>
        <v>Saaz (U.S.)</v>
      </c>
      <c r="B28" s="253">
        <f>IF(ISBLANK(HopSchedule!B6),"",HopSchedule!C6)</f>
        <v>5.800000000000001E-2</v>
      </c>
      <c r="C28" s="254">
        <f>IF(ISBLANK(HopSchedule!B6),"",HopSchedule!D6)</f>
        <v>2</v>
      </c>
      <c r="D28" s="96">
        <f>IF(ISBLANK(HopSchedule!B6),"",HopSchedule!E6)</f>
        <v>1</v>
      </c>
      <c r="E28" s="282">
        <f>IF(ISBLANK(HopSchedule!F6),"",HopSchedule!F6)</f>
        <v>0.78462966863892025</v>
      </c>
      <c r="F28" s="283"/>
      <c r="J28" s="2"/>
      <c r="K28" s="2"/>
    </row>
    <row r="29" spans="1:11" s="12" customFormat="1" outlineLevel="1" x14ac:dyDescent="0.2">
      <c r="A29" s="96" t="str">
        <f>IF( ISBLANK(HopSchedule!B7),"",HopSchedule!B7)</f>
        <v>Styrian Golding (Slovenia)</v>
      </c>
      <c r="B29" s="253">
        <f>IF(ISBLANK(HopSchedule!B7),"",HopSchedule!C7)</f>
        <v>3.4000000000000002E-2</v>
      </c>
      <c r="C29" s="254">
        <f>IF(ISBLANK(HopSchedule!B7),"",HopSchedule!D7)</f>
        <v>0.75</v>
      </c>
      <c r="D29" s="96">
        <f>IF(ISBLANK(HopSchedule!B7),"",HopSchedule!E7)</f>
        <v>1</v>
      </c>
      <c r="E29" s="282">
        <f>IF(ISBLANK(HopSchedule!F7),"",HopSchedule!F7)</f>
        <v>0.17248324612321095</v>
      </c>
      <c r="F29" s="283"/>
      <c r="J29" s="2"/>
      <c r="K29" s="2"/>
    </row>
    <row r="30" spans="1:11" s="12" customFormat="1" outlineLevel="1" x14ac:dyDescent="0.2">
      <c r="A30" s="96" t="str">
        <f>IF( ISBLANK(HopSchedule!B8),"",HopSchedule!B8)</f>
        <v>Saaz (U.S.)</v>
      </c>
      <c r="B30" s="253">
        <f>IF(ISBLANK(HopSchedule!B8),"",HopSchedule!C8)</f>
        <v>5.800000000000001E-2</v>
      </c>
      <c r="C30" s="254">
        <f>IF(ISBLANK(HopSchedule!B8),"",HopSchedule!D8)</f>
        <v>2</v>
      </c>
      <c r="D30" s="96">
        <f>IF(ISBLANK(HopSchedule!B8),"",HopSchedule!E8)</f>
        <v>15</v>
      </c>
      <c r="E30" s="282">
        <f>IF(ISBLANK(HopSchedule!F8),"",HopSchedule!F8)</f>
        <v>9.0285823209859952</v>
      </c>
      <c r="F30" s="283"/>
      <c r="J30" s="2"/>
      <c r="K30" s="2"/>
    </row>
    <row r="31" spans="1:11" s="12" customFormat="1" outlineLevel="1" x14ac:dyDescent="0.2">
      <c r="A31" s="96" t="str">
        <f>IF( ISBLANK(HopSchedule!B9),"",HopSchedule!B9)</f>
        <v>Centennial</v>
      </c>
      <c r="B31" s="253">
        <f>IF(ISBLANK(HopSchedule!B9),"",HopSchedule!C9)</f>
        <v>0.08</v>
      </c>
      <c r="C31" s="254">
        <f>IF(ISBLANK(HopSchedule!B9),"",HopSchedule!D9)</f>
        <v>0.2</v>
      </c>
      <c r="D31" s="96">
        <f>IF(ISBLANK(HopSchedule!B9),"",HopSchedule!E9)</f>
        <v>15</v>
      </c>
      <c r="E31" s="282">
        <f>IF(ISBLANK(HopSchedule!F9),"",HopSchedule!F9)</f>
        <v>1.2453216994463443</v>
      </c>
      <c r="F31" s="283"/>
      <c r="J31" s="2"/>
      <c r="K31" s="2"/>
    </row>
    <row r="32" spans="1:11" s="12" customFormat="1" outlineLevel="1" x14ac:dyDescent="0.2">
      <c r="A32" s="96" t="str">
        <f>IF( ISBLANK(HopSchedule!B10),"",HopSchedule!B10)</f>
        <v/>
      </c>
      <c r="B32" s="253" t="str">
        <f>IF(ISBLANK(HopSchedule!B10),"",HopSchedule!C10)</f>
        <v/>
      </c>
      <c r="C32" s="254" t="str">
        <f>IF(ISBLANK(HopSchedule!B10),"",HopSchedule!D10)</f>
        <v/>
      </c>
      <c r="D32" s="96" t="str">
        <f>IF(ISBLANK(HopSchedule!B10),"",HopSchedule!E10)</f>
        <v/>
      </c>
      <c r="E32" s="282">
        <f>IF(ISBLANK(HopSchedule!F10),"",HopSchedule!F10)</f>
        <v>0</v>
      </c>
      <c r="F32" s="283"/>
      <c r="J32" s="13"/>
      <c r="K32" s="2"/>
    </row>
    <row r="33" spans="1:14" ht="12.75" customHeight="1" x14ac:dyDescent="0.2">
      <c r="A33" s="288" t="s">
        <v>19</v>
      </c>
      <c r="B33" s="288"/>
      <c r="C33" s="288"/>
      <c r="D33" s="288"/>
      <c r="E33" s="288"/>
      <c r="F33" s="288"/>
      <c r="I33" s="8"/>
    </row>
    <row r="34" spans="1:14" s="6" customFormat="1" hidden="1" outlineLevel="1" x14ac:dyDescent="0.2">
      <c r="A34" s="256" t="s">
        <v>20</v>
      </c>
      <c r="B34" s="255"/>
      <c r="C34" s="255" t="s">
        <v>16</v>
      </c>
      <c r="D34" s="255" t="s">
        <v>17</v>
      </c>
      <c r="E34" s="255"/>
      <c r="F34" s="257"/>
      <c r="I34" s="3"/>
      <c r="K34" s="11"/>
    </row>
    <row r="35" spans="1:14" hidden="1" outlineLevel="1" x14ac:dyDescent="0.2">
      <c r="A35" s="7"/>
      <c r="B35" s="10"/>
      <c r="C35" s="10"/>
      <c r="D35" s="10"/>
      <c r="E35" s="10"/>
      <c r="F35" s="15"/>
    </row>
    <row r="36" spans="1:14" hidden="1" outlineLevel="1" x14ac:dyDescent="0.2">
      <c r="A36" s="7"/>
      <c r="B36" s="10"/>
      <c r="C36" s="10"/>
      <c r="D36" s="10"/>
      <c r="E36" s="10"/>
      <c r="F36" s="15"/>
    </row>
    <row r="37" spans="1:14" hidden="1" outlineLevel="1" x14ac:dyDescent="0.2">
      <c r="A37" s="7"/>
      <c r="B37" s="10"/>
      <c r="C37" s="10"/>
      <c r="D37" s="10"/>
      <c r="E37" s="10"/>
      <c r="F37" s="15"/>
      <c r="H37" s="2"/>
      <c r="I37" s="2"/>
      <c r="J37" s="2"/>
    </row>
    <row r="38" spans="1:14" hidden="1" outlineLevel="1" x14ac:dyDescent="0.2">
      <c r="A38" s="16"/>
      <c r="B38" s="17"/>
      <c r="C38" s="17"/>
      <c r="D38" s="17"/>
      <c r="E38" s="17"/>
      <c r="F38" s="18"/>
      <c r="H38" s="2"/>
      <c r="I38" s="2"/>
      <c r="J38" s="2"/>
    </row>
    <row r="39" spans="1:14" ht="12.75" customHeight="1" collapsed="1" x14ac:dyDescent="0.2">
      <c r="A39" s="302" t="s">
        <v>21</v>
      </c>
      <c r="B39" s="302"/>
      <c r="C39" s="19" t="s">
        <v>22</v>
      </c>
      <c r="D39" s="303" t="s">
        <v>23</v>
      </c>
      <c r="E39" s="303"/>
      <c r="F39" s="303"/>
    </row>
    <row r="40" spans="1:14" ht="12.75" customHeight="1" x14ac:dyDescent="0.2">
      <c r="A40" s="20" t="s">
        <v>24</v>
      </c>
      <c r="B40" s="21">
        <f>SUM(GrainGravity)/B7 + 1</f>
        <v>1.0700335999999999</v>
      </c>
      <c r="C40" s="22">
        <f>Refractometer!A3</f>
        <v>1.07413294078496</v>
      </c>
      <c r="D40" s="23" t="s">
        <v>25</v>
      </c>
      <c r="E40" s="24"/>
      <c r="F40" s="25">
        <f>(1-((Constants!B2-B8)/(Constants!B2-Constants!B3)))*(1-F42)</f>
        <v>0.76838838503308848</v>
      </c>
    </row>
    <row r="41" spans="1:14" ht="12.75" customHeight="1" x14ac:dyDescent="0.2">
      <c r="A41" s="20" t="s">
        <v>26</v>
      </c>
      <c r="B41" s="21">
        <f>1+SUM(GrainGravity,Adjuncts!F3:F6)/B7</f>
        <v>1.0835335999999998</v>
      </c>
      <c r="C41" s="22">
        <f>Refractometer!A9</f>
        <v>1.0883398588932838</v>
      </c>
      <c r="D41" s="23" t="s">
        <v>27</v>
      </c>
      <c r="E41" s="24"/>
      <c r="F41" s="25">
        <f>((Constants!B2-B8)/(Constants!B2-Constants!B3))*(1-F42)</f>
        <v>0</v>
      </c>
    </row>
    <row r="42" spans="1:14" ht="12.75" customHeight="1" x14ac:dyDescent="0.2">
      <c r="A42" s="20" t="s">
        <v>28</v>
      </c>
      <c r="B42" s="21">
        <v>1.012</v>
      </c>
      <c r="C42" s="22">
        <f>IF(MIN(Refractometer!C13:C18)&gt;0,MIN(Refractometer!C13:C18),Refractometer!C12)</f>
        <v>1.0506065394661119</v>
      </c>
      <c r="D42" s="23" t="s">
        <v>29</v>
      </c>
      <c r="E42" s="24"/>
      <c r="F42" s="25">
        <f>SUM(Adjuncts!F3:F6)/SUM(Adjuncts!F3:F6,Adjuncts!F9:F11,GrainGravity)+0.07</f>
        <v>0.23161161496691154</v>
      </c>
      <c r="H42" s="26"/>
    </row>
    <row r="43" spans="1:14" ht="12.75" customHeight="1" x14ac:dyDescent="0.2">
      <c r="A43" s="20" t="s">
        <v>30</v>
      </c>
      <c r="B43" s="28">
        <f>1.4922 * SUM(GrainBill!F3:F8) ^ 0.6859</f>
        <v>13.42361307947359</v>
      </c>
      <c r="C43" s="261"/>
      <c r="D43" s="304" t="s">
        <v>31</v>
      </c>
      <c r="E43" s="304"/>
      <c r="F43" s="27">
        <f>SUM(Adjuncts!F9:F11)/SUM(Adjuncts!F3:F6,Adjuncts!F9:F11,GrainGravity)</f>
        <v>0</v>
      </c>
    </row>
    <row r="44" spans="1:14" ht="13.5" customHeight="1" x14ac:dyDescent="0.2">
      <c r="A44" s="20" t="s">
        <v>32</v>
      </c>
      <c r="B44" s="28">
        <f>SUM(HopSchedule!F3:F9)</f>
        <v>41.947003683797782</v>
      </c>
      <c r="C44" s="261"/>
      <c r="D44" s="29"/>
      <c r="E44" s="29"/>
      <c r="F44" s="29"/>
    </row>
    <row r="45" spans="1:14" x14ac:dyDescent="0.2">
      <c r="A45" s="30" t="s">
        <v>33</v>
      </c>
      <c r="B45" s="31">
        <f>(B41-B42)/0.75</f>
        <v>9.5378133333333004E-2</v>
      </c>
      <c r="C45" s="258">
        <f>IF(ISNUMBER(C42),(C41-C42)/0.75,"TBD")</f>
        <v>5.0311092569562454E-2</v>
      </c>
      <c r="D45" s="29"/>
      <c r="E45" s="29"/>
      <c r="F45" s="29"/>
    </row>
    <row r="47" spans="1:14" ht="12.75" customHeight="1" x14ac:dyDescent="0.2">
      <c r="A47" s="301" t="s">
        <v>507</v>
      </c>
      <c r="B47" s="301"/>
      <c r="C47" s="301"/>
      <c r="D47" s="301"/>
      <c r="E47" s="301"/>
      <c r="F47" s="301"/>
    </row>
    <row r="48" spans="1:14" x14ac:dyDescent="0.2">
      <c r="A48" s="300"/>
      <c r="B48" s="32" t="s">
        <v>34</v>
      </c>
      <c r="C48" s="32" t="s">
        <v>35</v>
      </c>
      <c r="D48" s="32" t="s">
        <v>36</v>
      </c>
      <c r="E48" s="32" t="s">
        <v>37</v>
      </c>
      <c r="F48" s="33" t="s">
        <v>38</v>
      </c>
      <c r="G48" s="12"/>
      <c r="M48" s="34"/>
      <c r="N48" s="12"/>
    </row>
    <row r="49" spans="1:14" x14ac:dyDescent="0.2">
      <c r="A49" s="300"/>
      <c r="B49" s="35">
        <v>0.1</v>
      </c>
      <c r="C49" s="35">
        <v>0.2</v>
      </c>
      <c r="D49" s="35">
        <v>0.30000000000000004</v>
      </c>
      <c r="E49" s="35">
        <v>0.4</v>
      </c>
      <c r="F49" s="36">
        <v>0.5</v>
      </c>
      <c r="M49" s="34"/>
      <c r="N49" s="12"/>
    </row>
    <row r="50" spans="1:14" x14ac:dyDescent="0.2">
      <c r="A50" s="7" t="s">
        <v>39</v>
      </c>
      <c r="B50" s="10" t="str">
        <f>IF(F40+F43&lt;B49,"X","")</f>
        <v/>
      </c>
      <c r="C50" s="10" t="str">
        <f>IF($F40+$F43&lt;=C49,IF($F40+$F43&gt;B49,"X",""),"")</f>
        <v/>
      </c>
      <c r="D50" s="10" t="str">
        <f>IF($F40+$F43&lt;=D49,IF($F40+$F43&gt;C49,"X",""),"")</f>
        <v/>
      </c>
      <c r="E50" s="10" t="str">
        <f>IF($F40+$F43&lt;=E49,IF($F40+$F43&gt;D49,"X",""),"")</f>
        <v/>
      </c>
      <c r="F50" s="37" t="str">
        <f>IF(F40+F43&gt;=F49,"X","")</f>
        <v>X</v>
      </c>
      <c r="M50" s="34"/>
      <c r="N50" s="12"/>
    </row>
    <row r="51" spans="1:14" x14ac:dyDescent="0.2">
      <c r="A51" s="16" t="s">
        <v>40</v>
      </c>
      <c r="B51" s="262"/>
      <c r="C51" s="262"/>
      <c r="D51" s="262"/>
      <c r="E51" s="262"/>
      <c r="F51" s="263"/>
      <c r="M51" s="34"/>
      <c r="N51" s="12"/>
    </row>
    <row r="52" spans="1:14" ht="12.75" customHeight="1" x14ac:dyDescent="0.2">
      <c r="A52" s="301" t="s">
        <v>41</v>
      </c>
      <c r="B52" s="301"/>
      <c r="C52" s="301"/>
      <c r="D52" s="301"/>
      <c r="E52" s="301"/>
      <c r="F52" s="301"/>
      <c r="M52" s="34"/>
      <c r="N52" s="12"/>
    </row>
    <row r="53" spans="1:14" x14ac:dyDescent="0.2">
      <c r="A53" s="300"/>
      <c r="B53" s="32" t="s">
        <v>42</v>
      </c>
      <c r="C53" s="32" t="s">
        <v>43</v>
      </c>
      <c r="D53" s="32" t="s">
        <v>44</v>
      </c>
      <c r="E53" s="32" t="s">
        <v>45</v>
      </c>
      <c r="F53" s="33" t="s">
        <v>46</v>
      </c>
      <c r="G53" s="12"/>
      <c r="N53" s="12"/>
    </row>
    <row r="54" spans="1:14" x14ac:dyDescent="0.2">
      <c r="A54" s="300"/>
      <c r="B54" s="38">
        <v>0</v>
      </c>
      <c r="C54" s="38">
        <v>5</v>
      </c>
      <c r="D54" s="38">
        <v>15</v>
      </c>
      <c r="E54" s="38">
        <v>20</v>
      </c>
      <c r="F54" s="39">
        <v>30</v>
      </c>
      <c r="G54" s="12"/>
      <c r="N54" s="12"/>
    </row>
    <row r="55" spans="1:14" x14ac:dyDescent="0.2">
      <c r="A55" s="7" t="s">
        <v>39</v>
      </c>
      <c r="B55" s="10" t="str">
        <f>IF(B43&lt;C54,"X","")</f>
        <v/>
      </c>
      <c r="C55" s="10" t="str">
        <f>IF($B43&lt;=D54,IF($B43&gt;C54,"X",""),"")</f>
        <v>X</v>
      </c>
      <c r="D55" s="10" t="str">
        <f>IF($B43&lt;=E54,IF($B43&gt;D54,"X",""),"")</f>
        <v/>
      </c>
      <c r="E55" s="10" t="str">
        <f>IF($B43&lt;=F54,IF($B43&gt;E54,"X",""),"")</f>
        <v/>
      </c>
      <c r="F55" s="37" t="str">
        <f>IF(B43&gt;=F54,"X","")</f>
        <v/>
      </c>
      <c r="G55" s="12"/>
      <c r="N55" s="12"/>
    </row>
    <row r="56" spans="1:14" x14ac:dyDescent="0.2">
      <c r="A56" s="16" t="s">
        <v>40</v>
      </c>
      <c r="B56" s="10" t="str">
        <f>IF(ISNUMBER(C43),IF(C43&lt;C54,"X",""),"")</f>
        <v/>
      </c>
      <c r="C56" s="10" t="str">
        <f>IF($C43&lt;=D54,IF($C43&gt;C54,"X",""),"")</f>
        <v/>
      </c>
      <c r="D56" s="10" t="str">
        <f>IF($C43&lt;=E54,IF($C43&gt;D54,"X",""),"")</f>
        <v/>
      </c>
      <c r="E56" s="10" t="str">
        <f>IF($C43&lt;=F54,IF($C43&gt;E54,"X",""),"")</f>
        <v/>
      </c>
      <c r="F56" s="37" t="str">
        <f>IF(C43&gt;=F54,"X","")</f>
        <v/>
      </c>
      <c r="G56" s="12"/>
      <c r="N56" s="12"/>
    </row>
    <row r="57" spans="1:14" ht="12.75" customHeight="1" x14ac:dyDescent="0.2">
      <c r="A57" s="301" t="s">
        <v>47</v>
      </c>
      <c r="B57" s="301"/>
      <c r="C57" s="301"/>
      <c r="D57" s="301"/>
      <c r="E57" s="301"/>
      <c r="F57" s="301"/>
      <c r="G57" s="12"/>
      <c r="N57" s="12"/>
    </row>
    <row r="58" spans="1:14" ht="25.5" x14ac:dyDescent="0.2">
      <c r="A58" s="300"/>
      <c r="B58" s="32" t="s">
        <v>48</v>
      </c>
      <c r="C58" s="32" t="s">
        <v>43</v>
      </c>
      <c r="D58" s="32" t="s">
        <v>49</v>
      </c>
      <c r="E58" s="32" t="s">
        <v>50</v>
      </c>
      <c r="F58" s="33" t="s">
        <v>51</v>
      </c>
      <c r="G58" s="12"/>
      <c r="N58" s="12"/>
    </row>
    <row r="59" spans="1:14" x14ac:dyDescent="0.2">
      <c r="A59" s="300"/>
      <c r="B59" s="40">
        <v>0.03</v>
      </c>
      <c r="C59" s="40">
        <v>3.5000000000000003E-2</v>
      </c>
      <c r="D59" s="40">
        <v>4.4999999999999998E-2</v>
      </c>
      <c r="E59" s="40">
        <v>7.0000000000000007E-2</v>
      </c>
      <c r="F59" s="41">
        <v>8.5000000000000006E-2</v>
      </c>
      <c r="G59" s="12"/>
      <c r="N59" s="12"/>
    </row>
    <row r="60" spans="1:14" x14ac:dyDescent="0.2">
      <c r="A60" s="7" t="s">
        <v>39</v>
      </c>
      <c r="B60" s="10" t="str">
        <f>IF(B45&lt;C59,"X","")</f>
        <v/>
      </c>
      <c r="C60" s="10" t="str">
        <f>IF($B45&lt;=D59,IF($B45&gt;C59,"X",""),"")</f>
        <v/>
      </c>
      <c r="D60" s="10" t="str">
        <f>IF($B45&lt;=E59,IF($B45&gt;D59,"X",""),"")</f>
        <v/>
      </c>
      <c r="E60" s="10" t="str">
        <f>IF($B45&lt;=F59,IF($B45&gt;E59,"X",""),"")</f>
        <v/>
      </c>
      <c r="F60" s="10" t="str">
        <f>IF($B45&gt;=F59,"X","")</f>
        <v>X</v>
      </c>
      <c r="G60" s="12"/>
      <c r="N60" s="12"/>
    </row>
    <row r="61" spans="1:14" x14ac:dyDescent="0.2">
      <c r="A61" s="16" t="s">
        <v>40</v>
      </c>
      <c r="B61" s="10" t="str">
        <f>IF(C45&lt;C59,"X","")</f>
        <v/>
      </c>
      <c r="C61" s="10" t="str">
        <f>IF($C45&lt;=D59,IF($C45&gt;C59,"X",""),"")</f>
        <v/>
      </c>
      <c r="D61" s="10" t="str">
        <f>IF($C45&lt;=E59,IF($C45&gt;D59,"X",""),"")</f>
        <v>X</v>
      </c>
      <c r="E61" s="10" t="str">
        <f>IF($C45&lt;=F59,IF($C45&gt;E59,"X",""),"")</f>
        <v/>
      </c>
      <c r="F61" s="10" t="str">
        <f>IF(ISNUMBER(C45),IF($C45&gt;=F59,"X",""),"")</f>
        <v/>
      </c>
      <c r="G61" s="12"/>
      <c r="H61" s="12"/>
      <c r="I61" s="12"/>
      <c r="J61" s="12"/>
      <c r="L61" s="12"/>
      <c r="M61" s="12"/>
      <c r="N61" s="12"/>
    </row>
    <row r="62" spans="1:14" x14ac:dyDescent="0.2">
      <c r="G62" s="12"/>
      <c r="H62" s="12"/>
      <c r="I62" s="12"/>
      <c r="J62" s="12"/>
      <c r="L62" s="12"/>
      <c r="M62" s="12"/>
      <c r="N62" s="12"/>
    </row>
  </sheetData>
  <sheetProtection sheet="1" objects="1" scenarios="1" selectLockedCells="1"/>
  <mergeCells count="56">
    <mergeCell ref="A53:A54"/>
    <mergeCell ref="A57:F57"/>
    <mergeCell ref="A58:A59"/>
    <mergeCell ref="A39:B39"/>
    <mergeCell ref="D39:F39"/>
    <mergeCell ref="D43:E43"/>
    <mergeCell ref="A47:F47"/>
    <mergeCell ref="A48:A49"/>
    <mergeCell ref="A52:F52"/>
    <mergeCell ref="A33:F33"/>
    <mergeCell ref="B8:F8"/>
    <mergeCell ref="C10:D10"/>
    <mergeCell ref="E27:F27"/>
    <mergeCell ref="E28:F28"/>
    <mergeCell ref="E29:F29"/>
    <mergeCell ref="E30:F30"/>
    <mergeCell ref="A14:B14"/>
    <mergeCell ref="A10:B10"/>
    <mergeCell ref="A11:B11"/>
    <mergeCell ref="A12:B12"/>
    <mergeCell ref="A13:B13"/>
    <mergeCell ref="C11:D11"/>
    <mergeCell ref="C12:D12"/>
    <mergeCell ref="C13:D13"/>
    <mergeCell ref="C14:D14"/>
    <mergeCell ref="A1:F1"/>
    <mergeCell ref="A9:F9"/>
    <mergeCell ref="B2:F2"/>
    <mergeCell ref="B3:F3"/>
    <mergeCell ref="B6:F6"/>
    <mergeCell ref="B7:F7"/>
    <mergeCell ref="A4:A5"/>
    <mergeCell ref="B4:C4"/>
    <mergeCell ref="B5:C5"/>
    <mergeCell ref="C15:D15"/>
    <mergeCell ref="B18:C18"/>
    <mergeCell ref="B19:C19"/>
    <mergeCell ref="B20:C20"/>
    <mergeCell ref="A15:B15"/>
    <mergeCell ref="A16:B16"/>
    <mergeCell ref="C16:D16"/>
    <mergeCell ref="A17:C17"/>
    <mergeCell ref="D17:F17"/>
    <mergeCell ref="E31:F31"/>
    <mergeCell ref="E32:F32"/>
    <mergeCell ref="B22:C22"/>
    <mergeCell ref="D18:E18"/>
    <mergeCell ref="D19:E19"/>
    <mergeCell ref="D20:E20"/>
    <mergeCell ref="D21:E21"/>
    <mergeCell ref="D22:E22"/>
    <mergeCell ref="B21:C21"/>
    <mergeCell ref="E24:F24"/>
    <mergeCell ref="E25:F25"/>
    <mergeCell ref="E26:F26"/>
    <mergeCell ref="A23:F23"/>
  </mergeCells>
  <conditionalFormatting sqref="B50:F51 B60:F61 B55:F56">
    <cfRule type="cellIs" dxfId="8" priority="1" stopIfTrue="1" operator="equal">
      <formula>"X"</formula>
    </cfRule>
  </conditionalFormatting>
  <dataValidations count="1">
    <dataValidation type="list" allowBlank="1" showInputMessage="1" showErrorMessage="1" sqref="B4:B5">
      <formula1>Yeasts</formula1>
    </dataValidation>
  </dataValidations>
  <pageMargins left="0.74791666666666667" right="0.74791666666666667" top="0.98402777777777772" bottom="0.98402777777777772" header="0.51180555555555551" footer="0.51180555555555551"/>
  <pageSetup scale="93" firstPageNumber="0" orientation="portrait" horizontalDpi="300" verticalDpi="300" r:id="rId1"/>
  <headerFooter alignWithMargins="0"/>
  <colBreaks count="1" manualBreakCount="1">
    <brk id="12"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B1:U51"/>
  <sheetViews>
    <sheetView topLeftCell="A7" zoomScaleNormal="100" workbookViewId="0">
      <selection activeCell="F26" sqref="F26"/>
    </sheetView>
  </sheetViews>
  <sheetFormatPr defaultColWidth="15.28515625" defaultRowHeight="12" outlineLevelRow="1" x14ac:dyDescent="0.2"/>
  <cols>
    <col min="1" max="1" width="3" style="99" customWidth="1"/>
    <col min="2" max="2" width="12.42578125" style="98" customWidth="1"/>
    <col min="3" max="5" width="10.42578125" style="99" customWidth="1"/>
    <col min="6" max="9" width="10.42578125" style="98" customWidth="1"/>
    <col min="10" max="10" width="2.5703125" style="98" customWidth="1"/>
    <col min="11" max="12" width="12.140625" style="99" customWidth="1"/>
    <col min="13" max="15" width="10.42578125" style="99" customWidth="1"/>
    <col min="16" max="16384" width="15.28515625" style="99"/>
  </cols>
  <sheetData>
    <row r="1" spans="2:21" ht="35.1" customHeight="1" x14ac:dyDescent="0.2">
      <c r="B1" s="313" t="s">
        <v>367</v>
      </c>
      <c r="C1" s="314"/>
      <c r="D1" s="314"/>
      <c r="E1" s="314"/>
      <c r="F1" s="314"/>
      <c r="G1" s="314"/>
      <c r="H1" s="314"/>
      <c r="I1" s="314"/>
    </row>
    <row r="2" spans="2:21" x14ac:dyDescent="0.2">
      <c r="C2" s="100"/>
      <c r="D2" s="101" t="s">
        <v>368</v>
      </c>
      <c r="G2" s="102" t="s">
        <v>369</v>
      </c>
    </row>
    <row r="3" spans="2:21" s="103" customFormat="1" ht="24" x14ac:dyDescent="0.2">
      <c r="C3" s="104"/>
      <c r="D3" s="101" t="s">
        <v>370</v>
      </c>
      <c r="F3" s="103" t="s">
        <v>371</v>
      </c>
      <c r="G3" s="102"/>
      <c r="I3" s="102"/>
      <c r="J3" s="102"/>
    </row>
    <row r="4" spans="2:21" s="103" customFormat="1" x14ac:dyDescent="0.2">
      <c r="F4" s="102"/>
      <c r="G4" s="102"/>
      <c r="H4" s="102"/>
      <c r="I4" s="102"/>
      <c r="J4" s="102"/>
    </row>
    <row r="5" spans="2:21" s="103" customFormat="1" ht="29.25" customHeight="1" thickBot="1" x14ac:dyDescent="0.25">
      <c r="B5" s="312" t="s">
        <v>372</v>
      </c>
      <c r="C5" s="312"/>
      <c r="D5" s="312"/>
      <c r="E5" s="312"/>
      <c r="F5" s="312"/>
      <c r="G5" s="312"/>
      <c r="H5" s="312"/>
      <c r="I5" s="312"/>
      <c r="J5" s="312"/>
      <c r="K5" s="312"/>
      <c r="L5" s="312"/>
      <c r="M5" s="312"/>
      <c r="N5" s="312"/>
      <c r="O5" s="312"/>
    </row>
    <row r="6" spans="2:21" s="103" customFormat="1" ht="36" customHeight="1" thickBot="1" x14ac:dyDescent="0.25">
      <c r="B6" s="106" t="s">
        <v>373</v>
      </c>
      <c r="C6" s="106" t="s">
        <v>374</v>
      </c>
      <c r="D6" s="106" t="s">
        <v>375</v>
      </c>
      <c r="F6" s="102"/>
      <c r="G6" s="102"/>
      <c r="H6" s="102"/>
      <c r="I6" s="102"/>
      <c r="J6" s="102"/>
    </row>
    <row r="7" spans="2:21" s="103" customFormat="1" ht="18" customHeight="1" thickBot="1" x14ac:dyDescent="0.25">
      <c r="B7" s="107">
        <v>3</v>
      </c>
      <c r="C7" s="108">
        <f>B7*12.2-122.4</f>
        <v>-85.800000000000011</v>
      </c>
      <c r="D7" s="109">
        <f>(B7-5.2)*12.2</f>
        <v>-26.84</v>
      </c>
      <c r="F7" s="187"/>
      <c r="G7" s="102"/>
      <c r="H7" s="102"/>
      <c r="I7" s="102"/>
      <c r="J7" s="102"/>
    </row>
    <row r="8" spans="2:21" s="103" customFormat="1" ht="9" customHeight="1" x14ac:dyDescent="0.2">
      <c r="B8" s="110"/>
      <c r="C8" s="111"/>
      <c r="D8" s="112"/>
      <c r="F8" s="102"/>
      <c r="G8" s="102"/>
      <c r="H8" s="102"/>
      <c r="I8" s="102"/>
      <c r="J8" s="102"/>
      <c r="T8" s="113" t="s">
        <v>376</v>
      </c>
      <c r="U8" s="113" t="s">
        <v>377</v>
      </c>
    </row>
    <row r="9" spans="2:21" ht="36" hidden="1" customHeight="1" thickBot="1" x14ac:dyDescent="0.25">
      <c r="B9" s="114" t="s">
        <v>378</v>
      </c>
      <c r="C9" s="115" t="s">
        <v>379</v>
      </c>
      <c r="D9" s="115" t="s">
        <v>380</v>
      </c>
      <c r="E9" s="116" t="s">
        <v>381</v>
      </c>
      <c r="F9" s="115" t="s">
        <v>382</v>
      </c>
      <c r="G9" s="115" t="s">
        <v>383</v>
      </c>
      <c r="H9" s="115" t="s">
        <v>384</v>
      </c>
      <c r="I9" s="117"/>
      <c r="K9" s="118" t="s">
        <v>385</v>
      </c>
      <c r="L9" s="118" t="s">
        <v>386</v>
      </c>
      <c r="M9" s="106" t="s">
        <v>387</v>
      </c>
      <c r="N9" s="118" t="s">
        <v>388</v>
      </c>
      <c r="O9" s="118" t="s">
        <v>389</v>
      </c>
      <c r="T9" s="113">
        <v>0</v>
      </c>
      <c r="U9" s="113" t="s">
        <v>390</v>
      </c>
    </row>
    <row r="10" spans="2:21" ht="18" hidden="1" customHeight="1" thickTop="1" thickBot="1" x14ac:dyDescent="0.25">
      <c r="B10" s="119" t="s">
        <v>391</v>
      </c>
      <c r="C10" s="120">
        <v>0</v>
      </c>
      <c r="D10" s="120">
        <v>0</v>
      </c>
      <c r="E10" s="120">
        <v>0</v>
      </c>
      <c r="F10" s="120">
        <v>0</v>
      </c>
      <c r="G10" s="120">
        <v>0</v>
      </c>
      <c r="H10" s="120">
        <v>0</v>
      </c>
      <c r="I10" s="117"/>
      <c r="J10" s="121"/>
      <c r="K10" s="122">
        <f>(C10/1.4)+(D10/1.7)</f>
        <v>0</v>
      </c>
      <c r="L10" s="122">
        <f>IF(E9="Bicarbonate (ppm)", (50*E10/61)-K10, E10-K10)</f>
        <v>0</v>
      </c>
      <c r="M10" s="122">
        <f>IF(L10&lt;-69,0,L10*0.082+5.2)</f>
        <v>5.2</v>
      </c>
      <c r="N10" s="109">
        <f>IF(L10&lt;-128,0,(L10+122.4)/12.2)</f>
        <v>10.032786885245903</v>
      </c>
      <c r="O10" s="109" t="e">
        <f>VLOOKUP(G10/H10,T9:U13, 2, TRUE)</f>
        <v>#DIV/0!</v>
      </c>
      <c r="T10" s="113">
        <v>0.501</v>
      </c>
      <c r="U10" s="113" t="s">
        <v>392</v>
      </c>
    </row>
    <row r="11" spans="2:21" ht="9" customHeight="1" x14ac:dyDescent="0.2">
      <c r="T11" s="113">
        <v>0.76800000000000002</v>
      </c>
      <c r="U11" s="113" t="s">
        <v>393</v>
      </c>
    </row>
    <row r="12" spans="2:21" ht="18.75" customHeight="1" thickBot="1" x14ac:dyDescent="0.2">
      <c r="B12" s="315" t="s">
        <v>394</v>
      </c>
      <c r="C12" s="316"/>
      <c r="D12" s="316"/>
      <c r="E12" s="316"/>
      <c r="F12" s="316"/>
      <c r="G12" s="316"/>
      <c r="H12" s="316"/>
      <c r="I12" s="123"/>
      <c r="J12" s="123"/>
      <c r="K12" s="124"/>
      <c r="L12" s="124"/>
      <c r="M12" s="125"/>
      <c r="N12" s="124"/>
      <c r="O12" s="124"/>
      <c r="T12" s="113">
        <v>1.3</v>
      </c>
      <c r="U12" s="113" t="s">
        <v>395</v>
      </c>
    </row>
    <row r="13" spans="2:21" s="98" customFormat="1" ht="36" customHeight="1" outlineLevel="1" thickTop="1" thickBot="1" x14ac:dyDescent="0.25">
      <c r="B13" s="126" t="s">
        <v>396</v>
      </c>
      <c r="C13" s="127" t="s">
        <v>379</v>
      </c>
      <c r="D13" s="127" t="s">
        <v>380</v>
      </c>
      <c r="E13" s="128" t="s">
        <v>381</v>
      </c>
      <c r="F13" s="127" t="s">
        <v>382</v>
      </c>
      <c r="G13" s="127" t="s">
        <v>383</v>
      </c>
      <c r="H13" s="127" t="s">
        <v>384</v>
      </c>
      <c r="I13" s="127" t="s">
        <v>397</v>
      </c>
      <c r="J13" s="117"/>
      <c r="K13" s="129" t="s">
        <v>385</v>
      </c>
      <c r="L13" s="130" t="s">
        <v>386</v>
      </c>
      <c r="M13" s="131" t="s">
        <v>387</v>
      </c>
      <c r="N13" s="129" t="s">
        <v>388</v>
      </c>
      <c r="O13" s="129" t="s">
        <v>398</v>
      </c>
      <c r="T13" s="113">
        <v>2.0099999999999998</v>
      </c>
      <c r="U13" s="113" t="s">
        <v>399</v>
      </c>
    </row>
    <row r="14" spans="2:21" s="117" customFormat="1" ht="18" customHeight="1" outlineLevel="1" thickTop="1" thickBot="1" x14ac:dyDescent="0.25">
      <c r="B14" s="132" t="s">
        <v>391</v>
      </c>
      <c r="C14" s="128">
        <v>51</v>
      </c>
      <c r="D14" s="144">
        <v>16</v>
      </c>
      <c r="E14" s="144">
        <v>190</v>
      </c>
      <c r="F14" s="144">
        <v>66</v>
      </c>
      <c r="G14" s="144">
        <v>63</v>
      </c>
      <c r="H14" s="144">
        <v>120</v>
      </c>
      <c r="I14" s="275">
        <v>8.1</v>
      </c>
      <c r="J14" s="134"/>
      <c r="K14" s="135">
        <f>(C14/1.4)+(D14/1.7)</f>
        <v>45.840336134453786</v>
      </c>
      <c r="L14" s="136">
        <f>IF(E13="Bicarbonate (ppm)", (50*E14/61)-K14, E14-K14)</f>
        <v>144.15966386554621</v>
      </c>
      <c r="M14" s="135">
        <f>IF(L14&lt;-69,0,L14*0.082+5.2)</f>
        <v>17.02109243697479</v>
      </c>
      <c r="N14" s="137">
        <f>IF(L14&lt;-128,0,(L14+122.4)/12.2)</f>
        <v>21.849152775864447</v>
      </c>
      <c r="O14" s="137" t="str">
        <f>VLOOKUP(G14/H14,T9:U13, 2, TRUE)</f>
        <v>Bitter</v>
      </c>
      <c r="T14" s="113"/>
      <c r="U14" s="113"/>
    </row>
    <row r="15" spans="2:21" s="117" customFormat="1" ht="9" customHeight="1" thickTop="1" x14ac:dyDescent="0.2">
      <c r="I15" s="138"/>
      <c r="T15" s="113"/>
      <c r="U15" s="113"/>
    </row>
    <row r="16" spans="2:21" s="117" customFormat="1" ht="15" customHeight="1" thickBot="1" x14ac:dyDescent="0.25">
      <c r="B16" s="315" t="s">
        <v>400</v>
      </c>
      <c r="C16" s="317"/>
      <c r="D16" s="317"/>
      <c r="E16" s="317"/>
      <c r="F16" s="317"/>
      <c r="G16" s="317"/>
      <c r="H16" s="317"/>
      <c r="I16" s="123"/>
      <c r="J16" s="123"/>
      <c r="K16" s="124"/>
      <c r="L16" s="124"/>
      <c r="M16" s="124"/>
      <c r="N16" s="124"/>
      <c r="O16" s="124"/>
      <c r="T16" s="113"/>
      <c r="U16" s="113"/>
    </row>
    <row r="17" spans="2:21" s="117" customFormat="1" ht="36" hidden="1" customHeight="1" outlineLevel="1" thickTop="1" thickBot="1" x14ac:dyDescent="0.2">
      <c r="B17" s="126" t="s">
        <v>401</v>
      </c>
      <c r="C17" s="127" t="s">
        <v>379</v>
      </c>
      <c r="D17" s="127" t="s">
        <v>380</v>
      </c>
      <c r="E17" s="139" t="str">
        <f>E13</f>
        <v>Alkalinity as CaCO3</v>
      </c>
      <c r="F17" s="127" t="s">
        <v>382</v>
      </c>
      <c r="G17" s="127" t="s">
        <v>383</v>
      </c>
      <c r="H17" s="127" t="s">
        <v>384</v>
      </c>
      <c r="I17" s="140"/>
      <c r="K17" s="129" t="s">
        <v>385</v>
      </c>
      <c r="L17" s="130" t="s">
        <v>386</v>
      </c>
      <c r="M17" s="131" t="s">
        <v>387</v>
      </c>
      <c r="N17" s="129" t="s">
        <v>388</v>
      </c>
      <c r="O17" s="129" t="s">
        <v>398</v>
      </c>
      <c r="T17" s="113"/>
      <c r="U17" s="113"/>
    </row>
    <row r="18" spans="2:21" s="117" customFormat="1" ht="18" hidden="1" customHeight="1" outlineLevel="1" thickTop="1" thickBot="1" x14ac:dyDescent="0.2">
      <c r="B18" s="141">
        <v>0</v>
      </c>
      <c r="C18" s="142">
        <f t="shared" ref="C18:H18" si="0">(1-$B18)*C14</f>
        <v>51</v>
      </c>
      <c r="D18" s="142">
        <f t="shared" si="0"/>
        <v>16</v>
      </c>
      <c r="E18" s="142">
        <f t="shared" si="0"/>
        <v>190</v>
      </c>
      <c r="F18" s="142">
        <f t="shared" si="0"/>
        <v>66</v>
      </c>
      <c r="G18" s="142">
        <f t="shared" si="0"/>
        <v>63</v>
      </c>
      <c r="H18" s="142">
        <f t="shared" si="0"/>
        <v>120</v>
      </c>
      <c r="I18" s="140"/>
      <c r="J18" s="134"/>
      <c r="K18" s="135">
        <f>(C18/1.4)+(D18/1.7)</f>
        <v>45.840336134453786</v>
      </c>
      <c r="L18" s="136">
        <f>IF(E17="Bicarbonate (ppm)", (50*E18/61)-K18, E18-K18)</f>
        <v>144.15966386554621</v>
      </c>
      <c r="M18" s="135">
        <f>IF(L18&lt;-69,0,L18*0.082+5.2)</f>
        <v>17.02109243697479</v>
      </c>
      <c r="N18" s="137">
        <f>IF(L18&lt;-128,0,(L18+122.4)/12.2)</f>
        <v>21.849152775864447</v>
      </c>
      <c r="O18" s="137" t="str">
        <f>VLOOKUP(G18/H18,T9:U13, 2, TRUE)</f>
        <v>Bitter</v>
      </c>
      <c r="T18" s="113"/>
      <c r="U18" s="113"/>
    </row>
    <row r="19" spans="2:21" s="117" customFormat="1" ht="9" customHeight="1" collapsed="1" thickTop="1" x14ac:dyDescent="0.2">
      <c r="T19" s="113"/>
      <c r="U19" s="113"/>
    </row>
    <row r="20" spans="2:21" s="117" customFormat="1" ht="13.5" thickBot="1" x14ac:dyDescent="0.25">
      <c r="B20" s="312" t="s">
        <v>402</v>
      </c>
      <c r="C20" s="312"/>
      <c r="D20" s="312"/>
      <c r="E20" s="312"/>
      <c r="F20" s="312"/>
      <c r="G20" s="312"/>
      <c r="H20" s="312"/>
      <c r="I20" s="312"/>
      <c r="J20" s="312"/>
      <c r="K20" s="312"/>
      <c r="L20" s="312"/>
      <c r="T20" s="113"/>
      <c r="U20" s="113"/>
    </row>
    <row r="21" spans="2:21" ht="54" customHeight="1" outlineLevel="1" thickTop="1" thickBot="1" x14ac:dyDescent="0.2">
      <c r="B21" s="143" t="s">
        <v>403</v>
      </c>
      <c r="C21" s="133" t="s">
        <v>404</v>
      </c>
      <c r="D21" s="129" t="s">
        <v>405</v>
      </c>
      <c r="E21" s="129" t="s">
        <v>406</v>
      </c>
      <c r="F21" s="129" t="s">
        <v>407</v>
      </c>
      <c r="G21" s="129" t="s">
        <v>408</v>
      </c>
      <c r="H21" s="131" t="s">
        <v>409</v>
      </c>
      <c r="I21" s="129" t="s">
        <v>410</v>
      </c>
      <c r="J21" s="99"/>
      <c r="P21" s="140"/>
      <c r="Q21" s="140"/>
      <c r="R21" s="140"/>
      <c r="S21" s="140"/>
      <c r="T21" s="113"/>
      <c r="U21" s="113"/>
    </row>
    <row r="22" spans="2:21" ht="18" customHeight="1" outlineLevel="1" thickTop="1" thickBot="1" x14ac:dyDescent="0.2">
      <c r="B22" s="144">
        <f>IF(AVERAGE(C7:D7)&gt;=0, AVERAGE(C7:D7),0)</f>
        <v>0</v>
      </c>
      <c r="C22" s="145">
        <v>3</v>
      </c>
      <c r="D22" s="146">
        <f>(1-B18)*C22</f>
        <v>3</v>
      </c>
      <c r="E22" s="146">
        <f>(B18)*C22</f>
        <v>0</v>
      </c>
      <c r="F22" s="135">
        <f>IF(L18&gt;B22,(IF(E17="Bicarbonate (ppm)", (50*E18/61), E18)-B22)-K18,0)</f>
        <v>144.15966386554621</v>
      </c>
      <c r="G22" s="135">
        <f>IF(L18&lt;B22,B22-L18,0)</f>
        <v>0</v>
      </c>
      <c r="H22" s="135">
        <f>IF(B22&lt;-69,0,B22*0.082+5.2)</f>
        <v>5.2</v>
      </c>
      <c r="I22" s="137">
        <f>IF(B22&lt;-128,0,(B22+122.4)/12.2)</f>
        <v>10.032786885245903</v>
      </c>
      <c r="J22" s="99"/>
      <c r="P22" s="140"/>
      <c r="Q22" s="140"/>
      <c r="R22" s="140"/>
      <c r="S22" s="140"/>
      <c r="T22" s="113"/>
      <c r="U22" s="113"/>
    </row>
    <row r="23" spans="2:21" ht="9" customHeight="1" thickTop="1" x14ac:dyDescent="0.15">
      <c r="B23" s="147"/>
      <c r="C23" s="148"/>
      <c r="D23" s="149"/>
      <c r="E23" s="149"/>
      <c r="F23" s="150"/>
      <c r="G23" s="151"/>
      <c r="J23" s="99"/>
      <c r="P23" s="140"/>
      <c r="Q23" s="140"/>
      <c r="R23" s="140"/>
      <c r="S23" s="140"/>
      <c r="T23" s="113"/>
      <c r="U23" s="113"/>
    </row>
    <row r="24" spans="2:21" ht="13.5" thickBot="1" x14ac:dyDescent="0.25">
      <c r="B24" s="310" t="s">
        <v>411</v>
      </c>
      <c r="C24" s="318"/>
      <c r="D24" s="318"/>
      <c r="E24" s="318"/>
      <c r="F24" s="318"/>
      <c r="G24" s="318"/>
      <c r="H24" s="318"/>
      <c r="I24" s="123"/>
      <c r="J24" s="152"/>
      <c r="K24" s="124"/>
      <c r="L24" s="124"/>
      <c r="T24" s="113"/>
      <c r="U24" s="113"/>
    </row>
    <row r="25" spans="2:21" ht="54" customHeight="1" outlineLevel="1" thickTop="1" thickBot="1" x14ac:dyDescent="0.25">
      <c r="B25" s="153" t="s">
        <v>412</v>
      </c>
      <c r="C25" s="127" t="s">
        <v>413</v>
      </c>
      <c r="D25" s="154" t="s">
        <v>414</v>
      </c>
      <c r="E25" s="127" t="s">
        <v>415</v>
      </c>
      <c r="F25" s="127" t="s">
        <v>416</v>
      </c>
      <c r="G25" s="127" t="s">
        <v>417</v>
      </c>
      <c r="H25" s="155"/>
      <c r="I25" s="99"/>
      <c r="J25" s="99"/>
      <c r="T25" s="113"/>
      <c r="U25" s="113"/>
    </row>
    <row r="26" spans="2:21" ht="18" customHeight="1" outlineLevel="1" thickTop="1" thickBot="1" x14ac:dyDescent="0.25">
      <c r="B26" s="127" t="s">
        <v>418</v>
      </c>
      <c r="C26" s="128">
        <v>0</v>
      </c>
      <c r="D26" s="128">
        <v>0</v>
      </c>
      <c r="E26" s="128">
        <v>4</v>
      </c>
      <c r="F26" s="128">
        <v>0</v>
      </c>
      <c r="G26" s="128">
        <v>0</v>
      </c>
      <c r="H26" s="156"/>
      <c r="N26" s="98"/>
      <c r="O26" s="98"/>
      <c r="T26" s="113"/>
      <c r="U26" s="113"/>
    </row>
    <row r="27" spans="2:21" ht="9" customHeight="1" outlineLevel="1" thickTop="1" thickBot="1" x14ac:dyDescent="0.25">
      <c r="B27" s="155"/>
      <c r="C27" s="157"/>
      <c r="D27" s="149"/>
      <c r="E27" s="148"/>
      <c r="J27" s="158"/>
      <c r="T27" s="113"/>
      <c r="U27" s="113"/>
    </row>
    <row r="28" spans="2:21" ht="36" customHeight="1" outlineLevel="1" thickBot="1" x14ac:dyDescent="0.2">
      <c r="B28" s="159" t="s">
        <v>419</v>
      </c>
      <c r="C28" s="129" t="s">
        <v>379</v>
      </c>
      <c r="D28" s="129" t="s">
        <v>380</v>
      </c>
      <c r="E28" s="129" t="s">
        <v>420</v>
      </c>
      <c r="F28" s="129" t="s">
        <v>382</v>
      </c>
      <c r="G28" s="129" t="s">
        <v>383</v>
      </c>
      <c r="H28" s="129" t="s">
        <v>384</v>
      </c>
      <c r="K28" s="129" t="s">
        <v>421</v>
      </c>
      <c r="L28" s="129" t="s">
        <v>422</v>
      </c>
      <c r="P28" s="140"/>
      <c r="Q28" s="140"/>
      <c r="R28" s="140"/>
      <c r="S28" s="140"/>
      <c r="T28" s="113"/>
      <c r="U28" s="113"/>
    </row>
    <row r="29" spans="2:21" ht="18" customHeight="1" outlineLevel="1" thickBot="1" x14ac:dyDescent="0.2">
      <c r="B29" s="160" t="s">
        <v>391</v>
      </c>
      <c r="C29" s="135">
        <f>(C26*105.89+D26*60+E26*72)/C22</f>
        <v>96</v>
      </c>
      <c r="D29" s="135">
        <f>F26*24.6/C22</f>
        <v>0</v>
      </c>
      <c r="E29" s="135">
        <f>(C26*158+G26*191.88)/C22</f>
        <v>0</v>
      </c>
      <c r="F29" s="135">
        <f>G26*72.3/C22</f>
        <v>0</v>
      </c>
      <c r="G29" s="135">
        <f>E26*127.47/C22</f>
        <v>169.96</v>
      </c>
      <c r="H29" s="135">
        <f>(D26*147.4+F26*103)/C22</f>
        <v>0</v>
      </c>
      <c r="I29" s="99"/>
      <c r="J29" s="99"/>
      <c r="K29" s="135">
        <f>(C29/1.4)+(D29/1.7)</f>
        <v>68.571428571428569</v>
      </c>
      <c r="L29" s="135">
        <f>(E29)*50/61</f>
        <v>0</v>
      </c>
      <c r="P29" s="140"/>
      <c r="Q29" s="140"/>
      <c r="R29" s="140"/>
      <c r="S29" s="140"/>
      <c r="T29" s="113"/>
      <c r="U29" s="113"/>
    </row>
    <row r="30" spans="2:21" ht="9" customHeight="1" x14ac:dyDescent="0.15">
      <c r="P30" s="140"/>
      <c r="Q30" s="140"/>
      <c r="R30" s="140"/>
      <c r="S30" s="140"/>
      <c r="T30" s="113"/>
      <c r="U30" s="113"/>
    </row>
    <row r="31" spans="2:21" ht="36" customHeight="1" thickBot="1" x14ac:dyDescent="0.2">
      <c r="B31" s="310" t="s">
        <v>423</v>
      </c>
      <c r="C31" s="311"/>
      <c r="D31" s="311"/>
      <c r="E31" s="311"/>
      <c r="F31" s="311"/>
      <c r="G31" s="311"/>
      <c r="H31" s="311"/>
      <c r="P31" s="140"/>
      <c r="Q31" s="140"/>
      <c r="R31" s="140"/>
      <c r="S31" s="140"/>
      <c r="T31" s="113"/>
      <c r="U31" s="113"/>
    </row>
    <row r="32" spans="2:21" ht="54" customHeight="1" thickTop="1" thickBot="1" x14ac:dyDescent="0.25">
      <c r="B32" s="127" t="s">
        <v>424</v>
      </c>
      <c r="C32" s="127" t="s">
        <v>425</v>
      </c>
      <c r="D32" s="161" t="s">
        <v>426</v>
      </c>
      <c r="E32" s="127" t="s">
        <v>427</v>
      </c>
      <c r="T32" s="113"/>
      <c r="U32" s="113"/>
    </row>
    <row r="33" spans="2:21" ht="18" customHeight="1" thickTop="1" thickBot="1" x14ac:dyDescent="0.2">
      <c r="B33" s="127" t="s">
        <v>428</v>
      </c>
      <c r="C33" s="141">
        <v>0.37</v>
      </c>
      <c r="D33" s="162">
        <f>IF(L18&gt;B22,3.785*C22*F22/50/((13.927*C33*C33)+(27.319*C33)),0)</f>
        <v>2.7248981031465389</v>
      </c>
      <c r="E33" s="163">
        <v>0</v>
      </c>
      <c r="M33" s="140"/>
      <c r="T33" s="113"/>
      <c r="U33" s="113"/>
    </row>
    <row r="34" spans="2:21" ht="18" customHeight="1" thickTop="1" thickBot="1" x14ac:dyDescent="0.2">
      <c r="B34" s="127" t="s">
        <v>429</v>
      </c>
      <c r="C34" s="141">
        <v>0.88</v>
      </c>
      <c r="D34" s="164">
        <f>IF(L14&gt;B22,0.88/C34*3.785*C22*F22/50/11.8,0)</f>
        <v>2.7744626833784363</v>
      </c>
      <c r="E34" s="163">
        <v>0</v>
      </c>
      <c r="I34" s="99"/>
      <c r="J34" s="99"/>
      <c r="K34" s="149"/>
      <c r="L34" s="149"/>
      <c r="M34" s="165"/>
      <c r="T34" s="113"/>
      <c r="U34" s="113"/>
    </row>
    <row r="35" spans="2:21" s="167" customFormat="1" ht="9" customHeight="1" thickTop="1" x14ac:dyDescent="0.15">
      <c r="B35" s="148"/>
      <c r="C35" s="157"/>
      <c r="D35" s="149"/>
      <c r="E35" s="148"/>
      <c r="F35" s="166"/>
      <c r="G35" s="166"/>
      <c r="H35" s="166"/>
      <c r="K35" s="149"/>
      <c r="L35" s="149"/>
      <c r="M35" s="165"/>
      <c r="O35" s="99"/>
      <c r="P35" s="99"/>
      <c r="Q35" s="99"/>
      <c r="R35" s="99"/>
      <c r="S35" s="99"/>
      <c r="T35" s="113"/>
      <c r="U35" s="99"/>
    </row>
    <row r="36" spans="2:21" ht="36" customHeight="1" thickBot="1" x14ac:dyDescent="0.2">
      <c r="B36" s="310" t="s">
        <v>430</v>
      </c>
      <c r="C36" s="311"/>
      <c r="D36" s="311"/>
      <c r="E36" s="311"/>
      <c r="F36" s="311"/>
      <c r="G36" s="311"/>
      <c r="H36" s="311"/>
      <c r="I36" s="311"/>
      <c r="J36" s="124"/>
      <c r="K36" s="124"/>
      <c r="L36" s="124"/>
      <c r="M36" s="125"/>
      <c r="N36" s="124"/>
      <c r="O36" s="124"/>
      <c r="T36" s="113"/>
    </row>
    <row r="37" spans="2:21" ht="36" customHeight="1" thickBot="1" x14ac:dyDescent="0.25">
      <c r="B37" s="168" t="s">
        <v>431</v>
      </c>
      <c r="C37" s="129" t="s">
        <v>379</v>
      </c>
      <c r="D37" s="129" t="s">
        <v>380</v>
      </c>
      <c r="E37" s="129" t="s">
        <v>381</v>
      </c>
      <c r="F37" s="129" t="s">
        <v>382</v>
      </c>
      <c r="G37" s="129" t="s">
        <v>383</v>
      </c>
      <c r="H37" s="129" t="s">
        <v>384</v>
      </c>
      <c r="J37" s="169"/>
      <c r="K37" s="129" t="s">
        <v>385</v>
      </c>
      <c r="L37" s="129" t="s">
        <v>386</v>
      </c>
      <c r="M37" s="131" t="s">
        <v>387</v>
      </c>
      <c r="N37" s="129" t="s">
        <v>388</v>
      </c>
      <c r="O37" s="129" t="s">
        <v>398</v>
      </c>
      <c r="T37" s="113"/>
    </row>
    <row r="38" spans="2:21" ht="18" customHeight="1" thickBot="1" x14ac:dyDescent="0.25">
      <c r="B38" s="160" t="s">
        <v>391</v>
      </c>
      <c r="C38" s="135">
        <f>C18+C29</f>
        <v>147</v>
      </c>
      <c r="D38" s="135">
        <f>D18+D29</f>
        <v>16</v>
      </c>
      <c r="E38" s="135">
        <f>IF(E13="Bicarbonate (ppm)", 50/61*E18+L29, E18+L29)</f>
        <v>190</v>
      </c>
      <c r="F38" s="135">
        <f>F18+F29</f>
        <v>66</v>
      </c>
      <c r="G38" s="135">
        <f>IF(D33=0,G18+G29,G18+G29+(E33*12*C33/0.37*35.4/(C22*3.785)))</f>
        <v>232.96</v>
      </c>
      <c r="H38" s="135">
        <f>H18+H29</f>
        <v>120</v>
      </c>
      <c r="J38" s="170"/>
      <c r="K38" s="135">
        <f>(C38/1.4)+(D38/1.7)</f>
        <v>114.41176470588235</v>
      </c>
      <c r="L38" s="135">
        <f>E38-K38-(50*E33*((13.927*C33*C33)+(27.319*C33))/(C22*3.785))- (50*E34*C34/0.88*11.8/(C22*3.785))</f>
        <v>75.588235294117652</v>
      </c>
      <c r="M38" s="135">
        <f>IF(L38&lt;-69,0,L38*0.082+5.2)</f>
        <v>11.398235294117647</v>
      </c>
      <c r="N38" s="137">
        <f>IF(L38&lt;-128,0,(L38+122.4)/12.2)</f>
        <v>16.228543876567024</v>
      </c>
      <c r="O38" s="137" t="str">
        <f>VLOOKUP(G38/H38,T9:U13, 2, TRUE)</f>
        <v>Malty</v>
      </c>
      <c r="T38" s="113"/>
    </row>
    <row r="39" spans="2:21" ht="9" customHeight="1" thickBot="1" x14ac:dyDescent="0.2">
      <c r="M39" s="140"/>
      <c r="N39" s="140"/>
      <c r="O39" s="140"/>
    </row>
    <row r="40" spans="2:21" ht="9" customHeight="1" x14ac:dyDescent="0.15">
      <c r="B40" s="171"/>
      <c r="C40" s="172"/>
      <c r="D40" s="172"/>
      <c r="E40" s="172"/>
      <c r="F40" s="173"/>
      <c r="G40" s="173"/>
      <c r="H40" s="173"/>
      <c r="I40" s="173"/>
      <c r="J40" s="173"/>
      <c r="K40" s="172"/>
      <c r="L40" s="172"/>
      <c r="M40" s="174"/>
      <c r="N40" s="174"/>
      <c r="O40" s="174"/>
    </row>
    <row r="41" spans="2:21" ht="36" customHeight="1" thickBot="1" x14ac:dyDescent="0.2">
      <c r="B41" s="175" t="s">
        <v>432</v>
      </c>
      <c r="C41" s="176"/>
      <c r="D41" s="176"/>
      <c r="E41" s="176"/>
      <c r="F41" s="121"/>
      <c r="G41" s="121"/>
      <c r="H41" s="121"/>
      <c r="I41" s="121"/>
      <c r="J41" s="121"/>
      <c r="K41" s="177"/>
      <c r="L41" s="177"/>
      <c r="M41" s="178"/>
      <c r="N41" s="178"/>
      <c r="O41" s="178"/>
    </row>
    <row r="42" spans="2:21" ht="54" customHeight="1" thickTop="1" thickBot="1" x14ac:dyDescent="0.25">
      <c r="B42" s="179" t="s">
        <v>433</v>
      </c>
      <c r="C42" s="179" t="s">
        <v>434</v>
      </c>
      <c r="D42" s="127" t="s">
        <v>435</v>
      </c>
    </row>
    <row r="43" spans="2:21" ht="18" customHeight="1" thickTop="1" thickBot="1" x14ac:dyDescent="0.25">
      <c r="B43" s="180">
        <v>8</v>
      </c>
      <c r="C43" s="181">
        <v>6</v>
      </c>
      <c r="D43" s="145">
        <v>5</v>
      </c>
      <c r="G43" s="105"/>
      <c r="H43" s="105"/>
      <c r="I43" s="105"/>
    </row>
    <row r="44" spans="2:21" ht="13.5" thickTop="1" thickBot="1" x14ac:dyDescent="0.25">
      <c r="B44" s="182"/>
      <c r="C44" s="183"/>
      <c r="G44" s="105"/>
      <c r="H44" s="105"/>
      <c r="I44" s="184"/>
    </row>
    <row r="45" spans="2:21" ht="54" customHeight="1" thickTop="1" thickBot="1" x14ac:dyDescent="0.25">
      <c r="B45" s="127" t="s">
        <v>424</v>
      </c>
      <c r="C45" s="127" t="s">
        <v>425</v>
      </c>
      <c r="D45" s="127" t="s">
        <v>436</v>
      </c>
      <c r="G45" s="105"/>
      <c r="H45" s="105"/>
      <c r="I45" s="105"/>
    </row>
    <row r="46" spans="2:21" ht="18" customHeight="1" thickTop="1" thickBot="1" x14ac:dyDescent="0.25">
      <c r="B46" s="127" t="s">
        <v>428</v>
      </c>
      <c r="C46" s="141">
        <v>0.37</v>
      </c>
      <c r="D46" s="164">
        <f>IF(B43&gt;C43,3.785*D43*Scratch!P28/((13.927*C46*C46)+(27.319*C46)),0)</f>
        <v>1.5594105000082122E-6</v>
      </c>
      <c r="E46" s="105"/>
      <c r="F46" s="105"/>
      <c r="G46" s="105"/>
      <c r="H46" s="105"/>
      <c r="I46" s="105"/>
    </row>
    <row r="47" spans="2:21" ht="18" customHeight="1" thickTop="1" thickBot="1" x14ac:dyDescent="0.25">
      <c r="B47" s="127" t="s">
        <v>429</v>
      </c>
      <c r="C47" s="141">
        <v>0.88</v>
      </c>
      <c r="D47" s="185">
        <f>IF(B43&gt;C43,0.88/C47*3.785*D43*Scratch!P30/11.8,0)</f>
        <v>1.5896843496509066E-6</v>
      </c>
      <c r="G47" s="99"/>
      <c r="H47" s="99"/>
    </row>
    <row r="48" spans="2:21" s="98" customFormat="1" ht="12.75" thickTop="1" x14ac:dyDescent="0.2">
      <c r="C48" s="99"/>
      <c r="D48" s="186"/>
      <c r="E48" s="99"/>
      <c r="K48" s="99"/>
      <c r="L48" s="99"/>
      <c r="M48" s="99"/>
      <c r="N48" s="99"/>
      <c r="O48" s="99"/>
      <c r="P48" s="99"/>
      <c r="Q48" s="99"/>
      <c r="R48" s="99"/>
      <c r="S48" s="99"/>
      <c r="T48" s="99"/>
      <c r="U48" s="99"/>
    </row>
    <row r="49" spans="3:21" s="98" customFormat="1" x14ac:dyDescent="0.2">
      <c r="C49" s="99"/>
      <c r="D49" s="99"/>
      <c r="E49" s="99"/>
      <c r="G49" s="99"/>
      <c r="H49" s="99"/>
      <c r="K49" s="99"/>
      <c r="L49" s="99"/>
      <c r="M49" s="99"/>
      <c r="N49" s="99"/>
      <c r="O49" s="99"/>
      <c r="P49" s="99"/>
      <c r="Q49" s="99"/>
      <c r="R49" s="99"/>
      <c r="S49" s="99"/>
      <c r="T49" s="99"/>
      <c r="U49" s="99"/>
    </row>
    <row r="51" spans="3:21" s="98" customFormat="1" x14ac:dyDescent="0.2">
      <c r="C51" s="99"/>
      <c r="D51" s="99"/>
      <c r="E51" s="99"/>
      <c r="G51" s="99"/>
      <c r="H51" s="99"/>
      <c r="K51" s="99"/>
      <c r="L51" s="99"/>
      <c r="M51" s="99"/>
      <c r="N51" s="99"/>
      <c r="O51" s="99"/>
      <c r="P51" s="99"/>
      <c r="Q51" s="99"/>
      <c r="R51" s="99"/>
      <c r="S51" s="99"/>
      <c r="T51" s="99"/>
      <c r="U51" s="99"/>
    </row>
  </sheetData>
  <sheetProtection selectLockedCells="1"/>
  <mergeCells count="8">
    <mergeCell ref="B31:H31"/>
    <mergeCell ref="B36:I36"/>
    <mergeCell ref="B20:L20"/>
    <mergeCell ref="B5:O5"/>
    <mergeCell ref="B1:I1"/>
    <mergeCell ref="B12:H12"/>
    <mergeCell ref="B16:H16"/>
    <mergeCell ref="B24:H24"/>
  </mergeCells>
  <conditionalFormatting sqref="H38">
    <cfRule type="cellIs" dxfId="4" priority="1" stopIfTrue="1" operator="greaterThan">
      <formula>350</formula>
    </cfRule>
  </conditionalFormatting>
  <conditionalFormatting sqref="D38">
    <cfRule type="cellIs" dxfId="3" priority="2" stopIfTrue="1" operator="greaterThan">
      <formula>50</formula>
    </cfRule>
  </conditionalFormatting>
  <conditionalFormatting sqref="F38">
    <cfRule type="cellIs" dxfId="2" priority="3" stopIfTrue="1" operator="greaterThan">
      <formula>150</formula>
    </cfRule>
  </conditionalFormatting>
  <conditionalFormatting sqref="G38">
    <cfRule type="cellIs" dxfId="1" priority="4" stopIfTrue="1" operator="greaterThan">
      <formula>250</formula>
    </cfRule>
  </conditionalFormatting>
  <conditionalFormatting sqref="C7:D7 L38 L18">
    <cfRule type="cellIs" dxfId="0" priority="5" stopIfTrue="1" operator="greaterThan">
      <formula>300</formula>
    </cfRule>
  </conditionalFormatting>
  <pageMargins left="0.75" right="0.75" top="1" bottom="1" header="0.5" footer="0.5"/>
  <pageSetup orientation="landscape" horizontalDpi="4294967292" verticalDpi="4294967292"/>
  <headerFooter alignWithMargins="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31"/>
  <sheetViews>
    <sheetView workbookViewId="0">
      <selection activeCell="C4" sqref="C4"/>
    </sheetView>
  </sheetViews>
  <sheetFormatPr defaultColWidth="9.28515625" defaultRowHeight="12.75" outlineLevelRow="1" x14ac:dyDescent="0.2"/>
  <cols>
    <col min="1" max="1" width="9.28515625" style="42"/>
    <col min="2" max="2" width="20.7109375" style="42" customWidth="1"/>
    <col min="3" max="3" width="9.28515625" style="42"/>
    <col min="4" max="4" width="6.7109375" style="42" customWidth="1"/>
    <col min="5" max="12" width="9.28515625" style="42"/>
    <col min="13" max="13" width="13.42578125" style="42" customWidth="1"/>
    <col min="14" max="14" width="12.28515625" style="42" customWidth="1"/>
    <col min="15" max="15" width="17.7109375" style="42" customWidth="1"/>
    <col min="16" max="16384" width="9.28515625" style="42"/>
  </cols>
  <sheetData>
    <row r="1" spans="1:17" ht="12.75" customHeight="1" x14ac:dyDescent="0.2">
      <c r="A1" s="305" t="s">
        <v>7</v>
      </c>
      <c r="B1" s="305"/>
      <c r="C1" s="305"/>
      <c r="D1" s="305"/>
      <c r="E1" s="305"/>
      <c r="F1" s="305"/>
      <c r="G1" s="305"/>
      <c r="H1" s="305"/>
      <c r="I1" s="305"/>
      <c r="J1" s="305"/>
      <c r="K1" s="305"/>
    </row>
    <row r="2" spans="1:17" ht="25.5" customHeight="1" x14ac:dyDescent="0.2">
      <c r="A2" s="4" t="s">
        <v>52</v>
      </c>
      <c r="B2" s="5" t="s">
        <v>8</v>
      </c>
      <c r="C2" s="5" t="s">
        <v>10</v>
      </c>
      <c r="D2" s="232" t="s">
        <v>499</v>
      </c>
      <c r="E2" s="5" t="s">
        <v>11</v>
      </c>
      <c r="F2" s="5" t="s">
        <v>513</v>
      </c>
      <c r="G2" s="5" t="s">
        <v>9</v>
      </c>
      <c r="H2" s="5" t="s">
        <v>54</v>
      </c>
      <c r="I2" s="5" t="s">
        <v>55</v>
      </c>
      <c r="J2" s="5" t="s">
        <v>56</v>
      </c>
      <c r="K2" s="14" t="s">
        <v>57</v>
      </c>
      <c r="M2" s="306" t="str">
        <f>Main!A39</f>
        <v>Key Parameters</v>
      </c>
      <c r="N2" s="306">
        <f>Main!B39</f>
        <v>0</v>
      </c>
      <c r="O2" s="306" t="str">
        <f>Main!D39</f>
        <v>Est. Sugar Composition</v>
      </c>
      <c r="P2" s="306">
        <f>Main!E39</f>
        <v>0</v>
      </c>
      <c r="Q2" s="306">
        <f>Main!F39</f>
        <v>0</v>
      </c>
    </row>
    <row r="3" spans="1:17" x14ac:dyDescent="0.2">
      <c r="A3" s="43">
        <v>1</v>
      </c>
      <c r="B3" s="265" t="s">
        <v>61</v>
      </c>
      <c r="C3" s="266">
        <v>22</v>
      </c>
      <c r="D3" s="264">
        <f>IF(ISBLANK(B3),"",C3/$C$31)</f>
        <v>0.7857142857142857</v>
      </c>
      <c r="E3" s="238">
        <f t="shared" ref="E3:E30" si="0">IF(ISBLANK(B3)=FALSE,VLOOKUP(B3,GrainsAndMalts_Table,4,0),0)</f>
        <v>3</v>
      </c>
      <c r="F3" s="239">
        <f>(C3*E3)/Main!$B$7</f>
        <v>6.6</v>
      </c>
      <c r="G3" s="240">
        <f t="shared" ref="G3:G30" si="1">IF(ISBLANK(B3)=FALSE,VLOOKUP(B3,GrainsAndMalts_Table,3,0),0)</f>
        <v>1.0369999999999999</v>
      </c>
      <c r="H3" s="240">
        <f t="shared" ref="H3:H30" si="2">IF(G3&gt;1,(G3-1)*BrewhouseEfficiency,0)</f>
        <v>2.5011999999999954E-2</v>
      </c>
      <c r="I3" s="240">
        <f>C3*(H3)</f>
        <v>0.55026399999999898</v>
      </c>
      <c r="J3" s="241">
        <f t="shared" ref="J3:J30" si="3">IF(ISBLANK(B3)=FALSE,VLOOKUP(B3,GrainsAndMalts_Table,2,0),0)</f>
        <v>1.0900000000000001</v>
      </c>
      <c r="K3" s="242">
        <f>C3*J3</f>
        <v>23.98</v>
      </c>
      <c r="M3" s="48" t="str">
        <f>Main!A40</f>
        <v>Boil Gravity</v>
      </c>
      <c r="N3" s="49">
        <f>Main!B40</f>
        <v>1.0700335999999999</v>
      </c>
      <c r="O3" s="24" t="str">
        <f>Main!D40</f>
        <v>Dextrose</v>
      </c>
      <c r="P3" s="24"/>
      <c r="Q3" s="50">
        <f>Main!F40</f>
        <v>0.76838838503308848</v>
      </c>
    </row>
    <row r="4" spans="1:17" x14ac:dyDescent="0.2">
      <c r="A4" s="43">
        <v>2</v>
      </c>
      <c r="B4" s="265" t="s">
        <v>59</v>
      </c>
      <c r="C4" s="266">
        <v>4</v>
      </c>
      <c r="D4" s="264">
        <f t="shared" ref="D4:D31" si="4">IF(ISBLANK(B4),"",C4/$C$31)</f>
        <v>0.14285714285714285</v>
      </c>
      <c r="E4" s="238">
        <f t="shared" si="0"/>
        <v>15</v>
      </c>
      <c r="F4" s="239">
        <f>(C4*E4)/Main!$B$7</f>
        <v>6</v>
      </c>
      <c r="G4" s="240">
        <f t="shared" si="1"/>
        <v>1.0369999999999999</v>
      </c>
      <c r="H4" s="240">
        <f t="shared" si="2"/>
        <v>2.5011999999999954E-2</v>
      </c>
      <c r="I4" s="240">
        <f t="shared" ref="I4:I30" si="5">C4*(H4)</f>
        <v>0.10004799999999982</v>
      </c>
      <c r="J4" s="241">
        <f t="shared" si="3"/>
        <v>1.61</v>
      </c>
      <c r="K4" s="242">
        <f t="shared" ref="K4:K30" si="6">C4*J4</f>
        <v>6.44</v>
      </c>
      <c r="M4" s="48" t="str">
        <f>Main!A41</f>
        <v>SGs</v>
      </c>
      <c r="N4" s="49">
        <f>Main!B41</f>
        <v>1.0835335999999998</v>
      </c>
      <c r="O4" s="24" t="str">
        <f>Main!D41</f>
        <v>Maltose</v>
      </c>
      <c r="P4" s="24"/>
      <c r="Q4" s="50">
        <f>Main!F41</f>
        <v>0</v>
      </c>
    </row>
    <row r="5" spans="1:17" ht="26.25" customHeight="1" x14ac:dyDescent="0.2">
      <c r="A5" s="43">
        <v>3</v>
      </c>
      <c r="B5" s="265" t="s">
        <v>122</v>
      </c>
      <c r="C5" s="266">
        <v>2</v>
      </c>
      <c r="D5" s="264">
        <f t="shared" si="4"/>
        <v>7.1428571428571425E-2</v>
      </c>
      <c r="E5" s="238">
        <f t="shared" si="0"/>
        <v>60</v>
      </c>
      <c r="F5" s="239">
        <f>(C5*E5)/Main!$B$7</f>
        <v>12</v>
      </c>
      <c r="G5" s="240">
        <f t="shared" si="1"/>
        <v>1.0369999999999999</v>
      </c>
      <c r="H5" s="240">
        <f t="shared" si="2"/>
        <v>2.5011999999999954E-2</v>
      </c>
      <c r="I5" s="240">
        <f t="shared" si="5"/>
        <v>5.0023999999999909E-2</v>
      </c>
      <c r="J5" s="241">
        <f t="shared" si="3"/>
        <v>1.6</v>
      </c>
      <c r="K5" s="242">
        <f t="shared" si="6"/>
        <v>3.2</v>
      </c>
      <c r="M5" s="48" t="str">
        <f>Main!A42</f>
        <v>SGf</v>
      </c>
      <c r="N5" s="49">
        <f>Main!B42</f>
        <v>1.012</v>
      </c>
      <c r="O5" s="24" t="str">
        <f>Main!D42</f>
        <v>Simple Sugars</v>
      </c>
      <c r="P5" s="24"/>
      <c r="Q5" s="50">
        <f>Main!F42</f>
        <v>0.23161161496691154</v>
      </c>
    </row>
    <row r="6" spans="1:17" ht="13.5" customHeight="1" x14ac:dyDescent="0.2">
      <c r="A6" s="43">
        <v>4</v>
      </c>
      <c r="B6" s="265"/>
      <c r="C6" s="266"/>
      <c r="D6" s="264" t="str">
        <f t="shared" si="4"/>
        <v/>
      </c>
      <c r="E6" s="238">
        <f t="shared" si="0"/>
        <v>0</v>
      </c>
      <c r="F6" s="239">
        <f>(C6*E6)/Main!$B$7</f>
        <v>0</v>
      </c>
      <c r="G6" s="240">
        <f t="shared" si="1"/>
        <v>0</v>
      </c>
      <c r="H6" s="240">
        <f t="shared" si="2"/>
        <v>0</v>
      </c>
      <c r="I6" s="240">
        <f t="shared" si="5"/>
        <v>0</v>
      </c>
      <c r="J6" s="241">
        <f t="shared" si="3"/>
        <v>0</v>
      </c>
      <c r="K6" s="242">
        <f t="shared" si="6"/>
        <v>0</v>
      </c>
      <c r="M6" s="48" t="str">
        <f>Main!A43</f>
        <v>SRMb</v>
      </c>
      <c r="N6" s="51">
        <f>Main!B43</f>
        <v>13.42361307947359</v>
      </c>
      <c r="O6" s="307" t="str">
        <f>Main!D43</f>
        <v>Other Non-Fermentable Sugars</v>
      </c>
      <c r="P6" s="307">
        <f>Main!E43</f>
        <v>0</v>
      </c>
      <c r="Q6" s="50">
        <f>Main!F43</f>
        <v>0</v>
      </c>
    </row>
    <row r="7" spans="1:17" x14ac:dyDescent="0.2">
      <c r="A7" s="43">
        <v>5</v>
      </c>
      <c r="B7" s="265"/>
      <c r="C7" s="266"/>
      <c r="D7" s="264" t="str">
        <f t="shared" si="4"/>
        <v/>
      </c>
      <c r="E7" s="238">
        <f t="shared" si="0"/>
        <v>0</v>
      </c>
      <c r="F7" s="239">
        <f>(C7*E7)/Main!$B$7</f>
        <v>0</v>
      </c>
      <c r="G7" s="240">
        <f t="shared" si="1"/>
        <v>0</v>
      </c>
      <c r="H7" s="240">
        <f t="shared" si="2"/>
        <v>0</v>
      </c>
      <c r="I7" s="240">
        <f t="shared" si="5"/>
        <v>0</v>
      </c>
      <c r="J7" s="241">
        <f t="shared" si="3"/>
        <v>0</v>
      </c>
      <c r="K7" s="242">
        <f t="shared" si="6"/>
        <v>0</v>
      </c>
      <c r="M7" s="48" t="str">
        <f>Main!A44</f>
        <v>IBU</v>
      </c>
      <c r="N7" s="52">
        <f>Main!B44</f>
        <v>41.947003683797782</v>
      </c>
      <c r="O7" s="53"/>
      <c r="P7" s="53"/>
      <c r="Q7" s="53"/>
    </row>
    <row r="8" spans="1:17" x14ac:dyDescent="0.2">
      <c r="A8" s="43">
        <v>6</v>
      </c>
      <c r="B8" s="265"/>
      <c r="C8" s="266"/>
      <c r="D8" s="264" t="str">
        <f t="shared" si="4"/>
        <v/>
      </c>
      <c r="E8" s="238">
        <f t="shared" si="0"/>
        <v>0</v>
      </c>
      <c r="F8" s="239">
        <f>(C8*E8)/Main!$B$7</f>
        <v>0</v>
      </c>
      <c r="G8" s="240">
        <f t="shared" si="1"/>
        <v>0</v>
      </c>
      <c r="H8" s="240">
        <f t="shared" si="2"/>
        <v>0</v>
      </c>
      <c r="I8" s="240">
        <f t="shared" si="5"/>
        <v>0</v>
      </c>
      <c r="J8" s="241">
        <f t="shared" si="3"/>
        <v>0</v>
      </c>
      <c r="K8" s="242">
        <f t="shared" si="6"/>
        <v>0</v>
      </c>
      <c r="M8" s="51" t="str">
        <f>Main!A45</f>
        <v>% ABV (Miller)</v>
      </c>
      <c r="N8" s="54">
        <f>Main!B45</f>
        <v>9.5378133333333004E-2</v>
      </c>
      <c r="O8" s="53"/>
      <c r="P8" s="53"/>
      <c r="Q8" s="53"/>
    </row>
    <row r="9" spans="1:17" x14ac:dyDescent="0.2">
      <c r="A9" s="43">
        <v>7</v>
      </c>
      <c r="B9" s="267"/>
      <c r="C9" s="268"/>
      <c r="D9" s="264" t="str">
        <f t="shared" si="4"/>
        <v/>
      </c>
      <c r="E9" s="236">
        <f t="shared" si="0"/>
        <v>0</v>
      </c>
      <c r="F9" s="239">
        <f>(C9*E9)/Main!$B$7</f>
        <v>0</v>
      </c>
      <c r="G9" s="45">
        <f t="shared" si="1"/>
        <v>0</v>
      </c>
      <c r="H9" s="45">
        <f t="shared" si="2"/>
        <v>0</v>
      </c>
      <c r="I9" s="45">
        <f t="shared" si="5"/>
        <v>0</v>
      </c>
      <c r="J9" s="46">
        <f t="shared" si="3"/>
        <v>0</v>
      </c>
      <c r="K9" s="47">
        <f t="shared" si="6"/>
        <v>0</v>
      </c>
    </row>
    <row r="10" spans="1:17" x14ac:dyDescent="0.2">
      <c r="A10" s="43">
        <v>8</v>
      </c>
      <c r="B10" s="267"/>
      <c r="C10" s="267"/>
      <c r="D10" s="264" t="str">
        <f t="shared" si="4"/>
        <v/>
      </c>
      <c r="E10" s="44">
        <f t="shared" si="0"/>
        <v>0</v>
      </c>
      <c r="F10" s="239">
        <f>(C10*E10)/Main!$B$7</f>
        <v>0</v>
      </c>
      <c r="G10" s="45">
        <f t="shared" si="1"/>
        <v>0</v>
      </c>
      <c r="H10" s="45">
        <f t="shared" si="2"/>
        <v>0</v>
      </c>
      <c r="I10" s="45">
        <f t="shared" si="5"/>
        <v>0</v>
      </c>
      <c r="J10" s="46">
        <f t="shared" si="3"/>
        <v>0</v>
      </c>
      <c r="K10" s="47">
        <f t="shared" si="6"/>
        <v>0</v>
      </c>
    </row>
    <row r="11" spans="1:17" x14ac:dyDescent="0.2">
      <c r="A11" s="43">
        <v>9</v>
      </c>
      <c r="B11" s="267"/>
      <c r="C11" s="267"/>
      <c r="D11" s="264" t="str">
        <f t="shared" si="4"/>
        <v/>
      </c>
      <c r="E11" s="44">
        <f t="shared" si="0"/>
        <v>0</v>
      </c>
      <c r="F11" s="239">
        <f>(C11*E11)/Main!$B$7</f>
        <v>0</v>
      </c>
      <c r="G11" s="45">
        <f t="shared" si="1"/>
        <v>0</v>
      </c>
      <c r="H11" s="45">
        <f t="shared" si="2"/>
        <v>0</v>
      </c>
      <c r="I11" s="45">
        <f t="shared" si="5"/>
        <v>0</v>
      </c>
      <c r="J11" s="46">
        <f t="shared" si="3"/>
        <v>0</v>
      </c>
      <c r="K11" s="47">
        <f t="shared" si="6"/>
        <v>0</v>
      </c>
    </row>
    <row r="12" spans="1:17" x14ac:dyDescent="0.2">
      <c r="A12" s="43">
        <v>10</v>
      </c>
      <c r="B12" s="267"/>
      <c r="C12" s="267"/>
      <c r="D12" s="264" t="str">
        <f t="shared" si="4"/>
        <v/>
      </c>
      <c r="E12" s="44">
        <f t="shared" si="0"/>
        <v>0</v>
      </c>
      <c r="F12" s="239">
        <f>(C12*E12)/Main!$B$7</f>
        <v>0</v>
      </c>
      <c r="G12" s="45">
        <f t="shared" si="1"/>
        <v>0</v>
      </c>
      <c r="H12" s="45">
        <f t="shared" si="2"/>
        <v>0</v>
      </c>
      <c r="I12" s="45">
        <f t="shared" si="5"/>
        <v>0</v>
      </c>
      <c r="J12" s="46">
        <f t="shared" si="3"/>
        <v>0</v>
      </c>
      <c r="K12" s="47">
        <f t="shared" si="6"/>
        <v>0</v>
      </c>
    </row>
    <row r="13" spans="1:17" x14ac:dyDescent="0.2">
      <c r="A13" s="43">
        <v>11</v>
      </c>
      <c r="B13" s="267"/>
      <c r="C13" s="267"/>
      <c r="D13" s="264" t="str">
        <f t="shared" si="4"/>
        <v/>
      </c>
      <c r="E13" s="44">
        <f t="shared" si="0"/>
        <v>0</v>
      </c>
      <c r="F13" s="239">
        <f>(C13*E13)/Main!$B$7</f>
        <v>0</v>
      </c>
      <c r="G13" s="45">
        <f t="shared" si="1"/>
        <v>0</v>
      </c>
      <c r="H13" s="45">
        <f t="shared" si="2"/>
        <v>0</v>
      </c>
      <c r="I13" s="45">
        <f t="shared" si="5"/>
        <v>0</v>
      </c>
      <c r="J13" s="46">
        <f t="shared" si="3"/>
        <v>0</v>
      </c>
      <c r="K13" s="47">
        <f t="shared" si="6"/>
        <v>0</v>
      </c>
    </row>
    <row r="14" spans="1:17" x14ac:dyDescent="0.2">
      <c r="A14" s="43">
        <v>12</v>
      </c>
      <c r="B14" s="267"/>
      <c r="C14" s="267"/>
      <c r="D14" s="264" t="str">
        <f t="shared" si="4"/>
        <v/>
      </c>
      <c r="E14" s="44">
        <f t="shared" si="0"/>
        <v>0</v>
      </c>
      <c r="F14" s="239">
        <f>(C14*E14)/Main!$B$7</f>
        <v>0</v>
      </c>
      <c r="G14" s="45">
        <f t="shared" si="1"/>
        <v>0</v>
      </c>
      <c r="H14" s="45">
        <f t="shared" si="2"/>
        <v>0</v>
      </c>
      <c r="I14" s="45">
        <f t="shared" si="5"/>
        <v>0</v>
      </c>
      <c r="J14" s="46">
        <f t="shared" si="3"/>
        <v>0</v>
      </c>
      <c r="K14" s="47">
        <f t="shared" si="6"/>
        <v>0</v>
      </c>
    </row>
    <row r="15" spans="1:17" x14ac:dyDescent="0.2">
      <c r="A15" s="43">
        <v>13</v>
      </c>
      <c r="B15" s="267"/>
      <c r="C15" s="267"/>
      <c r="D15" s="264" t="str">
        <f t="shared" si="4"/>
        <v/>
      </c>
      <c r="E15" s="44">
        <f t="shared" si="0"/>
        <v>0</v>
      </c>
      <c r="F15" s="239">
        <f>(C15*E15)/Main!$B$7</f>
        <v>0</v>
      </c>
      <c r="G15" s="45">
        <f t="shared" si="1"/>
        <v>0</v>
      </c>
      <c r="H15" s="45">
        <f t="shared" si="2"/>
        <v>0</v>
      </c>
      <c r="I15" s="45">
        <f t="shared" si="5"/>
        <v>0</v>
      </c>
      <c r="J15" s="46">
        <f t="shared" si="3"/>
        <v>0</v>
      </c>
      <c r="K15" s="47">
        <f t="shared" si="6"/>
        <v>0</v>
      </c>
    </row>
    <row r="16" spans="1:17" x14ac:dyDescent="0.2">
      <c r="A16" s="43">
        <v>14</v>
      </c>
      <c r="B16" s="267"/>
      <c r="C16" s="267"/>
      <c r="D16" s="264" t="str">
        <f t="shared" si="4"/>
        <v/>
      </c>
      <c r="E16" s="44">
        <f t="shared" si="0"/>
        <v>0</v>
      </c>
      <c r="F16" s="239">
        <f>(C16*E16)/Main!$B$7</f>
        <v>0</v>
      </c>
      <c r="G16" s="45">
        <f t="shared" si="1"/>
        <v>0</v>
      </c>
      <c r="H16" s="45">
        <f t="shared" si="2"/>
        <v>0</v>
      </c>
      <c r="I16" s="45">
        <f t="shared" si="5"/>
        <v>0</v>
      </c>
      <c r="J16" s="46">
        <f t="shared" si="3"/>
        <v>0</v>
      </c>
      <c r="K16" s="47">
        <f t="shared" si="6"/>
        <v>0</v>
      </c>
    </row>
    <row r="17" spans="1:11" x14ac:dyDescent="0.2">
      <c r="A17" s="43">
        <v>15</v>
      </c>
      <c r="B17" s="267"/>
      <c r="C17" s="267"/>
      <c r="D17" s="264" t="str">
        <f t="shared" si="4"/>
        <v/>
      </c>
      <c r="E17" s="44">
        <f t="shared" si="0"/>
        <v>0</v>
      </c>
      <c r="F17" s="239">
        <f>(C17*E17)/Main!$B$7</f>
        <v>0</v>
      </c>
      <c r="G17" s="45">
        <f t="shared" si="1"/>
        <v>0</v>
      </c>
      <c r="H17" s="45">
        <f t="shared" si="2"/>
        <v>0</v>
      </c>
      <c r="I17" s="45">
        <f t="shared" si="5"/>
        <v>0</v>
      </c>
      <c r="J17" s="46">
        <f t="shared" si="3"/>
        <v>0</v>
      </c>
      <c r="K17" s="47">
        <f t="shared" si="6"/>
        <v>0</v>
      </c>
    </row>
    <row r="18" spans="1:11" hidden="1" outlineLevel="1" x14ac:dyDescent="0.2">
      <c r="A18" s="43">
        <v>16</v>
      </c>
      <c r="B18" s="267"/>
      <c r="C18" s="267"/>
      <c r="D18" s="264" t="str">
        <f t="shared" si="4"/>
        <v/>
      </c>
      <c r="E18" s="44">
        <f t="shared" si="0"/>
        <v>0</v>
      </c>
      <c r="F18" s="44">
        <f t="shared" ref="F18:F30" si="7">C18*E18</f>
        <v>0</v>
      </c>
      <c r="G18" s="45">
        <f t="shared" si="1"/>
        <v>0</v>
      </c>
      <c r="H18" s="45">
        <f t="shared" si="2"/>
        <v>0</v>
      </c>
      <c r="I18" s="45">
        <f t="shared" si="5"/>
        <v>0</v>
      </c>
      <c r="J18" s="46">
        <f t="shared" si="3"/>
        <v>0</v>
      </c>
      <c r="K18" s="47">
        <f t="shared" si="6"/>
        <v>0</v>
      </c>
    </row>
    <row r="19" spans="1:11" hidden="1" outlineLevel="1" x14ac:dyDescent="0.2">
      <c r="A19" s="43">
        <v>17</v>
      </c>
      <c r="B19" s="267"/>
      <c r="C19" s="267"/>
      <c r="D19" s="264" t="str">
        <f t="shared" si="4"/>
        <v/>
      </c>
      <c r="E19" s="44">
        <f t="shared" si="0"/>
        <v>0</v>
      </c>
      <c r="F19" s="44">
        <f t="shared" si="7"/>
        <v>0</v>
      </c>
      <c r="G19" s="45">
        <f t="shared" si="1"/>
        <v>0</v>
      </c>
      <c r="H19" s="45">
        <f t="shared" si="2"/>
        <v>0</v>
      </c>
      <c r="I19" s="45">
        <f t="shared" si="5"/>
        <v>0</v>
      </c>
      <c r="J19" s="46">
        <f t="shared" si="3"/>
        <v>0</v>
      </c>
      <c r="K19" s="47">
        <f t="shared" si="6"/>
        <v>0</v>
      </c>
    </row>
    <row r="20" spans="1:11" hidden="1" outlineLevel="1" x14ac:dyDescent="0.2">
      <c r="A20" s="43">
        <v>18</v>
      </c>
      <c r="B20" s="267"/>
      <c r="C20" s="267"/>
      <c r="D20" s="264" t="str">
        <f t="shared" si="4"/>
        <v/>
      </c>
      <c r="E20" s="44">
        <f t="shared" si="0"/>
        <v>0</v>
      </c>
      <c r="F20" s="44">
        <f t="shared" si="7"/>
        <v>0</v>
      </c>
      <c r="G20" s="45">
        <f t="shared" si="1"/>
        <v>0</v>
      </c>
      <c r="H20" s="45">
        <f t="shared" si="2"/>
        <v>0</v>
      </c>
      <c r="I20" s="45">
        <f t="shared" si="5"/>
        <v>0</v>
      </c>
      <c r="J20" s="46">
        <f t="shared" si="3"/>
        <v>0</v>
      </c>
      <c r="K20" s="47">
        <f t="shared" si="6"/>
        <v>0</v>
      </c>
    </row>
    <row r="21" spans="1:11" hidden="1" outlineLevel="1" x14ac:dyDescent="0.2">
      <c r="A21" s="43">
        <v>19</v>
      </c>
      <c r="B21" s="267"/>
      <c r="C21" s="267"/>
      <c r="D21" s="264" t="str">
        <f t="shared" si="4"/>
        <v/>
      </c>
      <c r="E21" s="44">
        <f t="shared" si="0"/>
        <v>0</v>
      </c>
      <c r="F21" s="44">
        <f t="shared" si="7"/>
        <v>0</v>
      </c>
      <c r="G21" s="45">
        <f t="shared" si="1"/>
        <v>0</v>
      </c>
      <c r="H21" s="45">
        <f t="shared" si="2"/>
        <v>0</v>
      </c>
      <c r="I21" s="45">
        <f t="shared" si="5"/>
        <v>0</v>
      </c>
      <c r="J21" s="46">
        <f t="shared" si="3"/>
        <v>0</v>
      </c>
      <c r="K21" s="47">
        <f t="shared" si="6"/>
        <v>0</v>
      </c>
    </row>
    <row r="22" spans="1:11" hidden="1" outlineLevel="1" x14ac:dyDescent="0.2">
      <c r="A22" s="43">
        <v>20</v>
      </c>
      <c r="B22" s="267"/>
      <c r="C22" s="267"/>
      <c r="D22" s="264" t="str">
        <f t="shared" si="4"/>
        <v/>
      </c>
      <c r="E22" s="44">
        <f t="shared" si="0"/>
        <v>0</v>
      </c>
      <c r="F22" s="44">
        <f t="shared" si="7"/>
        <v>0</v>
      </c>
      <c r="G22" s="45">
        <f t="shared" si="1"/>
        <v>0</v>
      </c>
      <c r="H22" s="45">
        <f t="shared" si="2"/>
        <v>0</v>
      </c>
      <c r="I22" s="45">
        <f t="shared" si="5"/>
        <v>0</v>
      </c>
      <c r="J22" s="46">
        <f t="shared" si="3"/>
        <v>0</v>
      </c>
      <c r="K22" s="47">
        <f t="shared" si="6"/>
        <v>0</v>
      </c>
    </row>
    <row r="23" spans="1:11" hidden="1" outlineLevel="1" x14ac:dyDescent="0.2">
      <c r="A23" s="43">
        <v>21</v>
      </c>
      <c r="B23" s="267"/>
      <c r="C23" s="267"/>
      <c r="D23" s="264" t="str">
        <f t="shared" si="4"/>
        <v/>
      </c>
      <c r="E23" s="44">
        <f t="shared" si="0"/>
        <v>0</v>
      </c>
      <c r="F23" s="44">
        <f t="shared" si="7"/>
        <v>0</v>
      </c>
      <c r="G23" s="45">
        <f t="shared" si="1"/>
        <v>0</v>
      </c>
      <c r="H23" s="45">
        <f t="shared" si="2"/>
        <v>0</v>
      </c>
      <c r="I23" s="45">
        <f t="shared" si="5"/>
        <v>0</v>
      </c>
      <c r="J23" s="46">
        <f t="shared" si="3"/>
        <v>0</v>
      </c>
      <c r="K23" s="47">
        <f t="shared" si="6"/>
        <v>0</v>
      </c>
    </row>
    <row r="24" spans="1:11" hidden="1" outlineLevel="1" x14ac:dyDescent="0.2">
      <c r="A24" s="43">
        <v>22</v>
      </c>
      <c r="B24" s="267"/>
      <c r="C24" s="267"/>
      <c r="D24" s="264" t="str">
        <f t="shared" si="4"/>
        <v/>
      </c>
      <c r="E24" s="44">
        <f t="shared" si="0"/>
        <v>0</v>
      </c>
      <c r="F24" s="44">
        <f t="shared" si="7"/>
        <v>0</v>
      </c>
      <c r="G24" s="45">
        <f t="shared" si="1"/>
        <v>0</v>
      </c>
      <c r="H24" s="45">
        <f t="shared" si="2"/>
        <v>0</v>
      </c>
      <c r="I24" s="45">
        <f t="shared" si="5"/>
        <v>0</v>
      </c>
      <c r="J24" s="46">
        <f t="shared" si="3"/>
        <v>0</v>
      </c>
      <c r="K24" s="47">
        <f t="shared" si="6"/>
        <v>0</v>
      </c>
    </row>
    <row r="25" spans="1:11" hidden="1" outlineLevel="1" x14ac:dyDescent="0.2">
      <c r="A25" s="43">
        <v>23</v>
      </c>
      <c r="B25" s="267"/>
      <c r="C25" s="267"/>
      <c r="D25" s="264" t="str">
        <f t="shared" si="4"/>
        <v/>
      </c>
      <c r="E25" s="44">
        <f t="shared" si="0"/>
        <v>0</v>
      </c>
      <c r="F25" s="44">
        <f t="shared" si="7"/>
        <v>0</v>
      </c>
      <c r="G25" s="45">
        <f t="shared" si="1"/>
        <v>0</v>
      </c>
      <c r="H25" s="45">
        <f t="shared" si="2"/>
        <v>0</v>
      </c>
      <c r="I25" s="45">
        <f t="shared" si="5"/>
        <v>0</v>
      </c>
      <c r="J25" s="46">
        <f t="shared" si="3"/>
        <v>0</v>
      </c>
      <c r="K25" s="47">
        <f t="shared" si="6"/>
        <v>0</v>
      </c>
    </row>
    <row r="26" spans="1:11" hidden="1" outlineLevel="1" x14ac:dyDescent="0.2">
      <c r="A26" s="43">
        <v>24</v>
      </c>
      <c r="B26" s="267"/>
      <c r="C26" s="267"/>
      <c r="D26" s="264" t="str">
        <f t="shared" si="4"/>
        <v/>
      </c>
      <c r="E26" s="44">
        <f t="shared" si="0"/>
        <v>0</v>
      </c>
      <c r="F26" s="44">
        <f t="shared" si="7"/>
        <v>0</v>
      </c>
      <c r="G26" s="45">
        <f t="shared" si="1"/>
        <v>0</v>
      </c>
      <c r="H26" s="45">
        <f t="shared" si="2"/>
        <v>0</v>
      </c>
      <c r="I26" s="45">
        <f t="shared" si="5"/>
        <v>0</v>
      </c>
      <c r="J26" s="46">
        <f t="shared" si="3"/>
        <v>0</v>
      </c>
      <c r="K26" s="47">
        <f t="shared" si="6"/>
        <v>0</v>
      </c>
    </row>
    <row r="27" spans="1:11" hidden="1" outlineLevel="1" x14ac:dyDescent="0.2">
      <c r="A27" s="43">
        <v>25</v>
      </c>
      <c r="B27" s="267"/>
      <c r="C27" s="267"/>
      <c r="D27" s="264" t="str">
        <f t="shared" si="4"/>
        <v/>
      </c>
      <c r="E27" s="44">
        <f t="shared" si="0"/>
        <v>0</v>
      </c>
      <c r="F27" s="44">
        <f t="shared" si="7"/>
        <v>0</v>
      </c>
      <c r="G27" s="45">
        <f t="shared" si="1"/>
        <v>0</v>
      </c>
      <c r="H27" s="45">
        <f t="shared" si="2"/>
        <v>0</v>
      </c>
      <c r="I27" s="45">
        <f t="shared" si="5"/>
        <v>0</v>
      </c>
      <c r="J27" s="46">
        <f t="shared" si="3"/>
        <v>0</v>
      </c>
      <c r="K27" s="47">
        <f t="shared" si="6"/>
        <v>0</v>
      </c>
    </row>
    <row r="28" spans="1:11" hidden="1" outlineLevel="1" x14ac:dyDescent="0.2">
      <c r="A28" s="43">
        <v>26</v>
      </c>
      <c r="B28" s="267"/>
      <c r="C28" s="267"/>
      <c r="D28" s="264" t="str">
        <f t="shared" si="4"/>
        <v/>
      </c>
      <c r="E28" s="44">
        <f t="shared" si="0"/>
        <v>0</v>
      </c>
      <c r="F28" s="44">
        <f t="shared" si="7"/>
        <v>0</v>
      </c>
      <c r="G28" s="45">
        <f t="shared" si="1"/>
        <v>0</v>
      </c>
      <c r="H28" s="45">
        <f t="shared" si="2"/>
        <v>0</v>
      </c>
      <c r="I28" s="45">
        <f t="shared" si="5"/>
        <v>0</v>
      </c>
      <c r="J28" s="46">
        <f t="shared" si="3"/>
        <v>0</v>
      </c>
      <c r="K28" s="47">
        <f t="shared" si="6"/>
        <v>0</v>
      </c>
    </row>
    <row r="29" spans="1:11" hidden="1" outlineLevel="1" x14ac:dyDescent="0.2">
      <c r="A29" s="43">
        <v>27</v>
      </c>
      <c r="B29" s="267"/>
      <c r="C29" s="267"/>
      <c r="D29" s="264" t="str">
        <f t="shared" si="4"/>
        <v/>
      </c>
      <c r="E29" s="44">
        <f t="shared" si="0"/>
        <v>0</v>
      </c>
      <c r="F29" s="44">
        <f t="shared" si="7"/>
        <v>0</v>
      </c>
      <c r="G29" s="45">
        <f t="shared" si="1"/>
        <v>0</v>
      </c>
      <c r="H29" s="45">
        <f t="shared" si="2"/>
        <v>0</v>
      </c>
      <c r="I29" s="45">
        <f t="shared" si="5"/>
        <v>0</v>
      </c>
      <c r="J29" s="46">
        <f t="shared" si="3"/>
        <v>0</v>
      </c>
      <c r="K29" s="47">
        <f t="shared" si="6"/>
        <v>0</v>
      </c>
    </row>
    <row r="30" spans="1:11" hidden="1" outlineLevel="1" x14ac:dyDescent="0.2">
      <c r="A30" s="56">
        <v>28</v>
      </c>
      <c r="B30" s="269"/>
      <c r="C30" s="269"/>
      <c r="D30" s="264" t="str">
        <f t="shared" si="4"/>
        <v/>
      </c>
      <c r="E30" s="44">
        <f t="shared" si="0"/>
        <v>0</v>
      </c>
      <c r="F30" s="44">
        <f t="shared" si="7"/>
        <v>0</v>
      </c>
      <c r="G30" s="45">
        <f t="shared" si="1"/>
        <v>0</v>
      </c>
      <c r="H30" s="45">
        <f t="shared" si="2"/>
        <v>0</v>
      </c>
      <c r="I30" s="45">
        <f t="shared" si="5"/>
        <v>0</v>
      </c>
      <c r="J30" s="46">
        <f t="shared" si="3"/>
        <v>0</v>
      </c>
      <c r="K30" s="47">
        <f t="shared" si="6"/>
        <v>0</v>
      </c>
    </row>
    <row r="31" spans="1:11" collapsed="1" x14ac:dyDescent="0.2">
      <c r="B31" s="34" t="s">
        <v>500</v>
      </c>
      <c r="C31" s="42">
        <f>SUM(C3:C9)</f>
        <v>28</v>
      </c>
      <c r="D31" s="235">
        <f t="shared" si="4"/>
        <v>1</v>
      </c>
      <c r="J31" s="42" t="s">
        <v>62</v>
      </c>
      <c r="K31" s="57">
        <f>SUM(K3:K30)</f>
        <v>33.620000000000005</v>
      </c>
    </row>
  </sheetData>
  <sheetProtection sheet="1" objects="1" scenarios="1" formatRows="0" selectLockedCells="1" autoFilter="0"/>
  <mergeCells count="4">
    <mergeCell ref="A1:K1"/>
    <mergeCell ref="M2:N2"/>
    <mergeCell ref="O2:Q2"/>
    <mergeCell ref="O6:P6"/>
  </mergeCells>
  <dataValidations count="1">
    <dataValidation type="list" allowBlank="1" showInputMessage="1" showErrorMessage="1" sqref="B3:B30">
      <formula1>GrainsAndMalts</formula1>
      <formula2>0</formula2>
    </dataValidation>
  </dataValidations>
  <pageMargins left="0.7" right="0.7" top="0.75" bottom="0.75" header="0.51180555555555551" footer="0.51180555555555551"/>
  <pageSetup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N19"/>
  <sheetViews>
    <sheetView workbookViewId="0">
      <selection activeCell="D4" sqref="D4"/>
    </sheetView>
  </sheetViews>
  <sheetFormatPr defaultColWidth="9.28515625" defaultRowHeight="12.75" x14ac:dyDescent="0.2"/>
  <cols>
    <col min="1" max="1" width="9.28515625" style="42"/>
    <col min="2" max="2" width="27.42578125" style="42" customWidth="1"/>
    <col min="3" max="3" width="17.5703125" style="42" bestFit="1" customWidth="1"/>
    <col min="4" max="5" width="9.28515625" style="42"/>
    <col min="6" max="6" width="12.42578125" style="42" customWidth="1"/>
    <col min="7" max="7" width="9.28515625" style="42"/>
    <col min="8" max="8" width="10.42578125" style="42" customWidth="1"/>
    <col min="9" max="9" width="23.85546875" style="42" customWidth="1"/>
    <col min="10" max="10" width="9.28515625" style="42"/>
    <col min="11" max="11" width="10.85546875" style="42" customWidth="1"/>
    <col min="12" max="16384" width="9.28515625" style="42"/>
  </cols>
  <sheetData>
    <row r="1" spans="1:14" ht="12.75" customHeight="1" x14ac:dyDescent="0.2">
      <c r="A1" s="306" t="s">
        <v>483</v>
      </c>
      <c r="B1" s="306"/>
      <c r="C1" s="306"/>
      <c r="D1" s="306"/>
      <c r="E1" s="306"/>
      <c r="F1" s="306"/>
      <c r="G1" s="306"/>
      <c r="H1" s="306"/>
      <c r="I1" s="306"/>
      <c r="J1" s="306"/>
      <c r="K1" s="306"/>
      <c r="L1" s="306"/>
      <c r="M1" s="306"/>
      <c r="N1" s="306"/>
    </row>
    <row r="2" spans="1:14" ht="25.5" x14ac:dyDescent="0.2">
      <c r="A2" s="5" t="s">
        <v>52</v>
      </c>
      <c r="B2" s="5" t="s">
        <v>14</v>
      </c>
      <c r="C2" s="5" t="s">
        <v>15</v>
      </c>
      <c r="D2" s="5" t="s">
        <v>16</v>
      </c>
      <c r="E2" s="5" t="s">
        <v>17</v>
      </c>
      <c r="F2" s="5" t="s">
        <v>18</v>
      </c>
      <c r="G2" s="5" t="s">
        <v>63</v>
      </c>
      <c r="H2" s="5" t="s">
        <v>64</v>
      </c>
      <c r="I2" s="5" t="s">
        <v>65</v>
      </c>
      <c r="J2" s="5" t="s">
        <v>66</v>
      </c>
      <c r="K2" s="5" t="s">
        <v>67</v>
      </c>
      <c r="L2" s="5" t="s">
        <v>68</v>
      </c>
      <c r="M2" s="5" t="s">
        <v>69</v>
      </c>
      <c r="N2" s="5" t="s">
        <v>57</v>
      </c>
    </row>
    <row r="3" spans="1:14" x14ac:dyDescent="0.2">
      <c r="A3" s="55">
        <v>1</v>
      </c>
      <c r="B3" s="265" t="s">
        <v>70</v>
      </c>
      <c r="C3" s="243">
        <f t="shared" ref="C3:C18" si="0">IF(ISBLANK(B3)=FALSE,VLOOKUP(B3,Hops_Table,3,FALSE),0)</f>
        <v>0.08</v>
      </c>
      <c r="D3" s="274">
        <v>2</v>
      </c>
      <c r="E3" s="274">
        <v>60</v>
      </c>
      <c r="F3" s="244">
        <f>G3*H3*75/Main!$B$7</f>
        <v>25.097027190214892</v>
      </c>
      <c r="G3" s="245">
        <f t="shared" ref="G3:G18" si="1">D3*C3*100</f>
        <v>16</v>
      </c>
      <c r="H3" s="246">
        <f>(1.65*0.000125^((Main!$B$40-1)*(Main!$B$7/Main!$B$6)))*((1-EXP(-0.04*E3))/4.15)</f>
        <v>0.20914189325179075</v>
      </c>
      <c r="I3" s="249">
        <v>40580.584456018521</v>
      </c>
      <c r="J3" s="246" t="str">
        <f ca="1">IF(ISBLANK(B3)=FALSE,IF(NOW()&gt;I3, "Add", "Wait"),"")</f>
        <v>Add</v>
      </c>
      <c r="K3" s="265" t="s">
        <v>512</v>
      </c>
      <c r="L3" s="270">
        <f ca="1">IF(ISBLANK(B3)=FALSE,IF(J3="Add",IF(ISBLANK(K3)=TRUE, 2,0),1),"")</f>
        <v>0</v>
      </c>
      <c r="M3" s="248">
        <f t="shared" ref="M3:M18" si="2">IF(ISBLANK(B3)=FALSE,VLOOKUP(B3,Hops_Table,2,0),0)</f>
        <v>0.671875</v>
      </c>
      <c r="N3" s="248">
        <f t="shared" ref="N3:N18" si="3">M3*D3</f>
        <v>1.34375</v>
      </c>
    </row>
    <row r="4" spans="1:14" x14ac:dyDescent="0.2">
      <c r="A4" s="55">
        <v>2</v>
      </c>
      <c r="B4" s="265" t="s">
        <v>72</v>
      </c>
      <c r="C4" s="243">
        <f t="shared" si="0"/>
        <v>5.4000000000000006E-2</v>
      </c>
      <c r="D4" s="274">
        <v>1.25</v>
      </c>
      <c r="E4" s="274">
        <v>15</v>
      </c>
      <c r="F4" s="244">
        <f>G4*H4*75/Main!$B$7</f>
        <v>5.2537009195392645</v>
      </c>
      <c r="G4" s="245">
        <f t="shared" si="1"/>
        <v>6.75</v>
      </c>
      <c r="H4" s="246">
        <f>(1.65*0.000125^((Main!$B$40-1)*(Main!$B$7/Main!$B$6)))*((1-EXP(-0.04*E4))/4.15)</f>
        <v>0.10377680828719535</v>
      </c>
      <c r="I4" s="247">
        <f>IF(ISBLANK(B4),"",$I$3+($E$3-E4)/24/60)</f>
        <v>40580.615706018521</v>
      </c>
      <c r="J4" s="246" t="str">
        <f ca="1">IF(ISBLANK(B4)=FALSE,IF(NOW()&gt;I4, "Add", "Wait"),"")</f>
        <v>Add</v>
      </c>
      <c r="K4" s="265" t="s">
        <v>512</v>
      </c>
      <c r="L4" s="270">
        <f t="shared" ref="L4:L18" ca="1" si="4">IF(ISBLANK(B4)=FALSE,IF(J4="Add",IF(ISBLANK(K4)=TRUE, 2,0),1),"")</f>
        <v>0</v>
      </c>
      <c r="M4" s="248">
        <f t="shared" si="2"/>
        <v>0.546875</v>
      </c>
      <c r="N4" s="248">
        <f t="shared" si="3"/>
        <v>0.68359375</v>
      </c>
    </row>
    <row r="5" spans="1:14" x14ac:dyDescent="0.2">
      <c r="A5" s="55">
        <v>3</v>
      </c>
      <c r="B5" s="265" t="s">
        <v>72</v>
      </c>
      <c r="C5" s="243">
        <f>IF(ISBLANK(B5)=FALSE,VLOOKUP(B5,Hops_Table,3,FALSE),0)</f>
        <v>5.4000000000000006E-2</v>
      </c>
      <c r="D5" s="274">
        <v>1</v>
      </c>
      <c r="E5" s="274">
        <v>1</v>
      </c>
      <c r="F5" s="244">
        <f>G5*H5*75/Main!$B$7</f>
        <v>0.36525863884915255</v>
      </c>
      <c r="G5" s="245">
        <f t="shared" si="1"/>
        <v>5.4</v>
      </c>
      <c r="H5" s="246">
        <f>(1.65*0.000125^((Main!$B$40-1)*(Main!$B$7/Main!$B$6)))*((1-EXP(-0.04*E5))/4.15)</f>
        <v>9.0187318234358649E-3</v>
      </c>
      <c r="I5" s="247">
        <f t="shared" ref="I5:I18" si="5">IF(ISBLANK(B5),"",$I$3+($E$3-E5)/24/60)</f>
        <v>40580.625428240746</v>
      </c>
      <c r="J5" s="246" t="str">
        <f t="shared" ref="J5:J18" ca="1" si="6">IF(ISBLANK(B5)=FALSE,IF(NOW()&gt;I5, "Add", "Wait"),"")</f>
        <v>Add</v>
      </c>
      <c r="K5" s="265" t="s">
        <v>512</v>
      </c>
      <c r="L5" s="270">
        <f t="shared" ca="1" si="4"/>
        <v>0</v>
      </c>
      <c r="M5" s="248">
        <f t="shared" si="2"/>
        <v>0.546875</v>
      </c>
      <c r="N5" s="248">
        <f t="shared" si="3"/>
        <v>0.546875</v>
      </c>
    </row>
    <row r="6" spans="1:14" x14ac:dyDescent="0.2">
      <c r="A6" s="55">
        <v>4</v>
      </c>
      <c r="B6" s="265" t="s">
        <v>71</v>
      </c>
      <c r="C6" s="243">
        <f>IF(ISBLANK(B6)=FALSE,VLOOKUP(B6,Hops_Table,3,FALSE),0)</f>
        <v>5.800000000000001E-2</v>
      </c>
      <c r="D6" s="265">
        <v>2</v>
      </c>
      <c r="E6" s="265">
        <v>1</v>
      </c>
      <c r="F6" s="244">
        <f>G6*H6*75/Main!$B$7</f>
        <v>0.78462966863892025</v>
      </c>
      <c r="G6" s="245">
        <f t="shared" si="1"/>
        <v>11.600000000000001</v>
      </c>
      <c r="H6" s="246">
        <f>(1.65*0.000125^((Main!$B$40-1)*(Main!$B$7/Main!$B$6)))*((1-EXP(-0.04*E6))/4.15)</f>
        <v>9.0187318234358649E-3</v>
      </c>
      <c r="I6" s="247">
        <f t="shared" si="5"/>
        <v>40580.625428240746</v>
      </c>
      <c r="J6" s="246" t="str">
        <f t="shared" ca="1" si="6"/>
        <v>Add</v>
      </c>
      <c r="K6" s="265" t="s">
        <v>512</v>
      </c>
      <c r="L6" s="270">
        <f t="shared" ca="1" si="4"/>
        <v>0</v>
      </c>
      <c r="M6" s="248">
        <f t="shared" si="2"/>
        <v>0.546875</v>
      </c>
      <c r="N6" s="248">
        <f t="shared" si="3"/>
        <v>1.09375</v>
      </c>
    </row>
    <row r="7" spans="1:14" x14ac:dyDescent="0.2">
      <c r="A7" s="55">
        <v>5</v>
      </c>
      <c r="B7" s="265" t="s">
        <v>224</v>
      </c>
      <c r="C7" s="243">
        <f t="shared" si="0"/>
        <v>3.4000000000000002E-2</v>
      </c>
      <c r="D7" s="265">
        <v>0.75</v>
      </c>
      <c r="E7" s="265">
        <v>1</v>
      </c>
      <c r="F7" s="244">
        <f>G7*H7*75/Main!$B$7</f>
        <v>0.17248324612321095</v>
      </c>
      <c r="G7" s="245">
        <f t="shared" si="1"/>
        <v>2.5500000000000003</v>
      </c>
      <c r="H7" s="246">
        <f>(1.65*0.000125^((Main!$B$40-1)*(Main!$B$7/Main!$B$6)))*((1-EXP(-0.04*E7))/4.15)</f>
        <v>9.0187318234358649E-3</v>
      </c>
      <c r="I7" s="247">
        <f t="shared" si="5"/>
        <v>40580.625428240746</v>
      </c>
      <c r="J7" s="246" t="str">
        <f t="shared" ca="1" si="6"/>
        <v>Add</v>
      </c>
      <c r="K7" s="265" t="s">
        <v>512</v>
      </c>
      <c r="L7" s="270">
        <f t="shared" ca="1" si="4"/>
        <v>0</v>
      </c>
      <c r="M7" s="248">
        <f t="shared" si="2"/>
        <v>0</v>
      </c>
      <c r="N7" s="248">
        <f t="shared" si="3"/>
        <v>0</v>
      </c>
    </row>
    <row r="8" spans="1:14" x14ac:dyDescent="0.2">
      <c r="A8" s="55">
        <v>6</v>
      </c>
      <c r="B8" s="265" t="s">
        <v>71</v>
      </c>
      <c r="C8" s="243">
        <f t="shared" si="0"/>
        <v>5.800000000000001E-2</v>
      </c>
      <c r="D8" s="265">
        <v>2</v>
      </c>
      <c r="E8" s="265">
        <v>15</v>
      </c>
      <c r="F8" s="244">
        <f>G8*H8*75/Main!$B$7</f>
        <v>9.0285823209859952</v>
      </c>
      <c r="G8" s="245">
        <f t="shared" si="1"/>
        <v>11.600000000000001</v>
      </c>
      <c r="H8" s="246">
        <f>(1.65*0.000125^((Main!$B$40-1)*(Main!$B$7/Main!$B$6)))*((1-EXP(-0.04*E8))/4.15)</f>
        <v>0.10377680828719535</v>
      </c>
      <c r="I8" s="247">
        <f t="shared" si="5"/>
        <v>40580.615706018521</v>
      </c>
      <c r="J8" s="246" t="str">
        <f t="shared" ca="1" si="6"/>
        <v>Add</v>
      </c>
      <c r="K8" s="265" t="s">
        <v>512</v>
      </c>
      <c r="L8" s="270">
        <f t="shared" ca="1" si="4"/>
        <v>0</v>
      </c>
      <c r="M8" s="248">
        <f t="shared" si="2"/>
        <v>0.546875</v>
      </c>
      <c r="N8" s="248">
        <f t="shared" si="3"/>
        <v>1.09375</v>
      </c>
    </row>
    <row r="9" spans="1:14" x14ac:dyDescent="0.2">
      <c r="A9" s="55">
        <v>7</v>
      </c>
      <c r="B9" s="265" t="s">
        <v>70</v>
      </c>
      <c r="C9" s="243">
        <f t="shared" si="0"/>
        <v>0.08</v>
      </c>
      <c r="D9" s="265">
        <v>0.2</v>
      </c>
      <c r="E9" s="265">
        <v>15</v>
      </c>
      <c r="F9" s="244">
        <f>G9*H9*75/Main!$B$7</f>
        <v>1.2453216994463443</v>
      </c>
      <c r="G9" s="245">
        <f t="shared" si="1"/>
        <v>1.6</v>
      </c>
      <c r="H9" s="246">
        <f>(1.65*0.000125^((Main!$B$40-1)*(Main!$B$7/Main!$B$6)))*((1-EXP(-0.04*E9))/4.15)</f>
        <v>0.10377680828719535</v>
      </c>
      <c r="I9" s="247">
        <f t="shared" si="5"/>
        <v>40580.615706018521</v>
      </c>
      <c r="J9" s="246" t="str">
        <f t="shared" ca="1" si="6"/>
        <v>Add</v>
      </c>
      <c r="K9" s="265" t="s">
        <v>512</v>
      </c>
      <c r="L9" s="270">
        <f t="shared" ca="1" si="4"/>
        <v>0</v>
      </c>
      <c r="M9" s="248">
        <f t="shared" si="2"/>
        <v>0.671875</v>
      </c>
      <c r="N9" s="248">
        <f t="shared" si="3"/>
        <v>0.13437499999999999</v>
      </c>
    </row>
    <row r="10" spans="1:14" x14ac:dyDescent="0.2">
      <c r="A10" s="55">
        <v>8</v>
      </c>
      <c r="B10" s="265"/>
      <c r="C10" s="243">
        <f t="shared" si="0"/>
        <v>0</v>
      </c>
      <c r="D10" s="265"/>
      <c r="E10" s="265"/>
      <c r="F10" s="244">
        <f>G10*H10*75/Main!$B$7</f>
        <v>0</v>
      </c>
      <c r="G10" s="245">
        <f t="shared" si="1"/>
        <v>0</v>
      </c>
      <c r="H10" s="246">
        <f>(1.65*0.000125^((Main!$B$40-1)*(Main!$B$7/Main!$B$6)))*((1-EXP(-0.04*E10))/4.15)</f>
        <v>0</v>
      </c>
      <c r="I10" s="247" t="str">
        <f t="shared" si="5"/>
        <v/>
      </c>
      <c r="J10" s="246" t="str">
        <f t="shared" ca="1" si="6"/>
        <v/>
      </c>
      <c r="K10" s="265"/>
      <c r="L10" s="270" t="str">
        <f t="shared" si="4"/>
        <v/>
      </c>
      <c r="M10" s="248">
        <f t="shared" si="2"/>
        <v>0</v>
      </c>
      <c r="N10" s="248">
        <f t="shared" si="3"/>
        <v>0</v>
      </c>
    </row>
    <row r="11" spans="1:14" x14ac:dyDescent="0.2">
      <c r="A11" s="55">
        <v>9</v>
      </c>
      <c r="B11" s="267"/>
      <c r="C11" s="243">
        <f t="shared" si="0"/>
        <v>0</v>
      </c>
      <c r="D11" s="267"/>
      <c r="E11" s="267"/>
      <c r="F11" s="244">
        <f>G11*H11*75/Main!$B$7</f>
        <v>0</v>
      </c>
      <c r="G11" s="245">
        <f t="shared" si="1"/>
        <v>0</v>
      </c>
      <c r="H11" s="246">
        <f>(1.65*0.000125^((Main!$B$40-1)*(Main!$B$7/Main!$B$6)))*((1-EXP(-0.04*E11))/4.15)</f>
        <v>0</v>
      </c>
      <c r="I11" s="247" t="str">
        <f t="shared" si="5"/>
        <v/>
      </c>
      <c r="J11" s="246" t="str">
        <f t="shared" ca="1" si="6"/>
        <v/>
      </c>
      <c r="K11" s="265"/>
      <c r="L11" s="270" t="str">
        <f t="shared" si="4"/>
        <v/>
      </c>
      <c r="M11" s="248">
        <f t="shared" si="2"/>
        <v>0</v>
      </c>
      <c r="N11" s="248">
        <f t="shared" si="3"/>
        <v>0</v>
      </c>
    </row>
    <row r="12" spans="1:14" x14ac:dyDescent="0.2">
      <c r="A12" s="55">
        <v>10</v>
      </c>
      <c r="B12" s="267"/>
      <c r="C12" s="243">
        <f t="shared" si="0"/>
        <v>0</v>
      </c>
      <c r="D12" s="267"/>
      <c r="E12" s="267"/>
      <c r="F12" s="244">
        <f>G12*H12*75/Main!$B$7</f>
        <v>0</v>
      </c>
      <c r="G12" s="245">
        <f t="shared" si="1"/>
        <v>0</v>
      </c>
      <c r="H12" s="246">
        <f>(1.65*0.000125^((Main!$B$40-1)*(Main!$B$7/Main!$B$6)))*((1-EXP(-0.04*E12))/4.15)</f>
        <v>0</v>
      </c>
      <c r="I12" s="247" t="str">
        <f t="shared" si="5"/>
        <v/>
      </c>
      <c r="J12" s="246" t="str">
        <f t="shared" ca="1" si="6"/>
        <v/>
      </c>
      <c r="K12" s="265"/>
      <c r="L12" s="270" t="str">
        <f t="shared" si="4"/>
        <v/>
      </c>
      <c r="M12" s="248">
        <f t="shared" si="2"/>
        <v>0</v>
      </c>
      <c r="N12" s="248">
        <f t="shared" si="3"/>
        <v>0</v>
      </c>
    </row>
    <row r="13" spans="1:14" x14ac:dyDescent="0.2">
      <c r="A13" s="55">
        <v>11</v>
      </c>
      <c r="B13" s="267"/>
      <c r="C13" s="243">
        <f t="shared" si="0"/>
        <v>0</v>
      </c>
      <c r="D13" s="267"/>
      <c r="E13" s="267"/>
      <c r="F13" s="244">
        <f>G13*H13*75/Main!$B$7</f>
        <v>0</v>
      </c>
      <c r="G13" s="245">
        <f t="shared" si="1"/>
        <v>0</v>
      </c>
      <c r="H13" s="246">
        <f>(1.65*0.000125^((Main!$B$40-1)*(Main!$B$7/Main!$B$6)))*((1-EXP(-0.04*E13))/4.15)</f>
        <v>0</v>
      </c>
      <c r="I13" s="247" t="str">
        <f t="shared" si="5"/>
        <v/>
      </c>
      <c r="J13" s="246" t="str">
        <f t="shared" ca="1" si="6"/>
        <v/>
      </c>
      <c r="K13" s="265"/>
      <c r="L13" s="270" t="str">
        <f t="shared" si="4"/>
        <v/>
      </c>
      <c r="M13" s="248">
        <f t="shared" si="2"/>
        <v>0</v>
      </c>
      <c r="N13" s="248">
        <f t="shared" si="3"/>
        <v>0</v>
      </c>
    </row>
    <row r="14" spans="1:14" x14ac:dyDescent="0.2">
      <c r="A14" s="55">
        <v>12</v>
      </c>
      <c r="B14" s="267"/>
      <c r="C14" s="243">
        <f t="shared" si="0"/>
        <v>0</v>
      </c>
      <c r="D14" s="267"/>
      <c r="E14" s="267"/>
      <c r="F14" s="244">
        <f>G14*H14*75/Main!$B$7</f>
        <v>0</v>
      </c>
      <c r="G14" s="245">
        <f t="shared" si="1"/>
        <v>0</v>
      </c>
      <c r="H14" s="246">
        <f>(1.65*0.000125^((Main!$B$40-1)*(Main!$B$7/Main!$B$6)))*((1-EXP(-0.04*E14))/4.15)</f>
        <v>0</v>
      </c>
      <c r="I14" s="247" t="str">
        <f t="shared" si="5"/>
        <v/>
      </c>
      <c r="J14" s="246" t="str">
        <f t="shared" ca="1" si="6"/>
        <v/>
      </c>
      <c r="K14" s="265"/>
      <c r="L14" s="270" t="str">
        <f t="shared" si="4"/>
        <v/>
      </c>
      <c r="M14" s="248">
        <f t="shared" si="2"/>
        <v>0</v>
      </c>
      <c r="N14" s="248">
        <f t="shared" si="3"/>
        <v>0</v>
      </c>
    </row>
    <row r="15" spans="1:14" x14ac:dyDescent="0.2">
      <c r="A15" s="55">
        <v>13</v>
      </c>
      <c r="B15" s="267"/>
      <c r="C15" s="243">
        <f t="shared" si="0"/>
        <v>0</v>
      </c>
      <c r="D15" s="267"/>
      <c r="E15" s="267"/>
      <c r="F15" s="244">
        <f>G15*H15*75/Main!$B$7</f>
        <v>0</v>
      </c>
      <c r="G15" s="245">
        <f t="shared" si="1"/>
        <v>0</v>
      </c>
      <c r="H15" s="246">
        <f>(1.65*0.000125^((Main!$B$40-1)*(Main!$B$7/Main!$B$6)))*((1-EXP(-0.04*E15))/4.15)</f>
        <v>0</v>
      </c>
      <c r="I15" s="247" t="str">
        <f t="shared" si="5"/>
        <v/>
      </c>
      <c r="J15" s="246" t="str">
        <f t="shared" ca="1" si="6"/>
        <v/>
      </c>
      <c r="K15" s="265"/>
      <c r="L15" s="270" t="str">
        <f t="shared" si="4"/>
        <v/>
      </c>
      <c r="M15" s="248">
        <f t="shared" si="2"/>
        <v>0</v>
      </c>
      <c r="N15" s="248">
        <f t="shared" si="3"/>
        <v>0</v>
      </c>
    </row>
    <row r="16" spans="1:14" x14ac:dyDescent="0.2">
      <c r="A16" s="55">
        <v>14</v>
      </c>
      <c r="B16" s="267"/>
      <c r="C16" s="243">
        <f t="shared" si="0"/>
        <v>0</v>
      </c>
      <c r="D16" s="267"/>
      <c r="E16" s="267"/>
      <c r="F16" s="244">
        <f>G16*H16*75/Main!$B$7</f>
        <v>0</v>
      </c>
      <c r="G16" s="245">
        <f t="shared" si="1"/>
        <v>0</v>
      </c>
      <c r="H16" s="246">
        <f>(1.65*0.000125^((Main!$B$40-1)*(Main!$B$7/Main!$B$6)))*((1-EXP(-0.04*E16))/4.15)</f>
        <v>0</v>
      </c>
      <c r="I16" s="247" t="str">
        <f t="shared" si="5"/>
        <v/>
      </c>
      <c r="J16" s="246" t="str">
        <f t="shared" ca="1" si="6"/>
        <v/>
      </c>
      <c r="K16" s="265"/>
      <c r="L16" s="270" t="str">
        <f t="shared" si="4"/>
        <v/>
      </c>
      <c r="M16" s="248">
        <f t="shared" si="2"/>
        <v>0</v>
      </c>
      <c r="N16" s="248">
        <f t="shared" si="3"/>
        <v>0</v>
      </c>
    </row>
    <row r="17" spans="1:14" x14ac:dyDescent="0.2">
      <c r="A17" s="55">
        <v>15</v>
      </c>
      <c r="B17" s="267"/>
      <c r="C17" s="243">
        <f t="shared" si="0"/>
        <v>0</v>
      </c>
      <c r="D17" s="267"/>
      <c r="E17" s="267"/>
      <c r="F17" s="244">
        <f>G17*H17*75/Main!$B$7</f>
        <v>0</v>
      </c>
      <c r="G17" s="245">
        <f t="shared" si="1"/>
        <v>0</v>
      </c>
      <c r="H17" s="246">
        <f>(1.65*0.000125^((Main!$B$40-1)*(Main!$B$7/Main!$B$6)))*((1-EXP(-0.04*E17))/4.15)</f>
        <v>0</v>
      </c>
      <c r="I17" s="247" t="str">
        <f t="shared" si="5"/>
        <v/>
      </c>
      <c r="J17" s="246" t="str">
        <f t="shared" ca="1" si="6"/>
        <v/>
      </c>
      <c r="K17" s="265"/>
      <c r="L17" s="270" t="str">
        <f t="shared" si="4"/>
        <v/>
      </c>
      <c r="M17" s="248">
        <f t="shared" si="2"/>
        <v>0</v>
      </c>
      <c r="N17" s="248">
        <f t="shared" si="3"/>
        <v>0</v>
      </c>
    </row>
    <row r="18" spans="1:14" x14ac:dyDescent="0.2">
      <c r="A18" s="55">
        <v>16</v>
      </c>
      <c r="B18" s="267"/>
      <c r="C18" s="243">
        <f t="shared" si="0"/>
        <v>0</v>
      </c>
      <c r="D18" s="267"/>
      <c r="E18" s="267"/>
      <c r="F18" s="244">
        <f>G18*H18*75/Main!$B$7</f>
        <v>0</v>
      </c>
      <c r="G18" s="245">
        <f t="shared" si="1"/>
        <v>0</v>
      </c>
      <c r="H18" s="246">
        <f>(1.65*0.000125^((Main!$B$40-1)*(Main!$B$7/Main!$B$6)))*((1-EXP(-0.04*E18))/4.15)</f>
        <v>0</v>
      </c>
      <c r="I18" s="247" t="str">
        <f t="shared" si="5"/>
        <v/>
      </c>
      <c r="J18" s="246" t="str">
        <f t="shared" ca="1" si="6"/>
        <v/>
      </c>
      <c r="K18" s="265"/>
      <c r="L18" s="270" t="str">
        <f t="shared" si="4"/>
        <v/>
      </c>
      <c r="M18" s="248">
        <f t="shared" si="2"/>
        <v>0</v>
      </c>
      <c r="N18" s="248">
        <f t="shared" si="3"/>
        <v>0</v>
      </c>
    </row>
    <row r="19" spans="1:14" ht="12.75" customHeight="1" x14ac:dyDescent="0.2">
      <c r="A19" s="308" t="s">
        <v>73</v>
      </c>
      <c r="B19" s="308"/>
      <c r="C19" s="308"/>
      <c r="D19" s="308"/>
      <c r="E19" s="308"/>
      <c r="F19" s="58">
        <f>SUM(F3:F9)</f>
        <v>41.947003683797782</v>
      </c>
      <c r="G19" s="309"/>
      <c r="H19" s="309"/>
      <c r="I19" s="309"/>
      <c r="J19" s="309"/>
      <c r="K19" s="309"/>
      <c r="L19" s="309"/>
      <c r="M19" s="60" t="s">
        <v>62</v>
      </c>
      <c r="N19" s="61">
        <f>SUM(N3:N18)</f>
        <v>4.8960937500000004</v>
      </c>
    </row>
  </sheetData>
  <sheetProtection sheet="1" objects="1" scenarios="1" selectLockedCells="1"/>
  <mergeCells count="3">
    <mergeCell ref="A1:N1"/>
    <mergeCell ref="A19:E19"/>
    <mergeCell ref="G19:L19"/>
  </mergeCells>
  <conditionalFormatting sqref="L3:L18">
    <cfRule type="cellIs" dxfId="7" priority="1" stopIfTrue="1" operator="equal">
      <formula>2</formula>
    </cfRule>
    <cfRule type="cellIs" dxfId="6" priority="2" stopIfTrue="1" operator="equal">
      <formula>1</formula>
    </cfRule>
    <cfRule type="cellIs" dxfId="5" priority="3" stopIfTrue="1" operator="equal">
      <formula>0</formula>
    </cfRule>
  </conditionalFormatting>
  <dataValidations count="1">
    <dataValidation type="list" allowBlank="1" showInputMessage="1" showErrorMessage="1" sqref="B3:B18">
      <formula1>Hops</formula1>
      <formula2>0</formula2>
    </dataValidation>
  </dataValidations>
  <pageMargins left="0.7" right="0.7" top="0.75" bottom="0.75" header="0.51180555555555551" footer="0.51180555555555551"/>
  <pageSetup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5" r:id="rId4" name="Button 3">
              <controlPr defaultSize="0" print="0" autoFill="0" autoPict="0" macro="[0]!Button3_Click">
                <anchor moveWithCells="1" sizeWithCells="1">
                  <from>
                    <xdr:col>8</xdr:col>
                    <xdr:colOff>0</xdr:colOff>
                    <xdr:row>0</xdr:row>
                    <xdr:rowOff>0</xdr:rowOff>
                  </from>
                  <to>
                    <xdr:col>9</xdr:col>
                    <xdr:colOff>19050</xdr:colOff>
                    <xdr:row>0</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14"/>
  <sheetViews>
    <sheetView workbookViewId="0">
      <selection activeCell="C4" sqref="C4"/>
    </sheetView>
  </sheetViews>
  <sheetFormatPr defaultColWidth="9.28515625" defaultRowHeight="12.75" x14ac:dyDescent="0.2"/>
  <cols>
    <col min="1" max="1" width="22.5703125" style="42" customWidth="1"/>
    <col min="2" max="2" width="9.28515625" style="42"/>
    <col min="3" max="3" width="12" style="42" customWidth="1"/>
    <col min="4" max="11" width="9.28515625" style="42"/>
    <col min="12" max="12" width="13.7109375" style="42" customWidth="1"/>
    <col min="13" max="16384" width="9.28515625" style="42"/>
  </cols>
  <sheetData>
    <row r="1" spans="1:16" s="1" customFormat="1" ht="25.5" customHeight="1" x14ac:dyDescent="0.2">
      <c r="A1" s="306" t="s">
        <v>12</v>
      </c>
      <c r="B1" s="306"/>
      <c r="C1" s="306"/>
      <c r="D1" s="306"/>
      <c r="E1" s="306"/>
      <c r="F1" s="306"/>
      <c r="G1" s="306"/>
      <c r="H1" s="306"/>
      <c r="K1" s="2"/>
    </row>
    <row r="2" spans="1:16" s="1" customFormat="1" ht="25.5" customHeight="1" x14ac:dyDescent="0.2">
      <c r="A2" s="5" t="s">
        <v>8</v>
      </c>
      <c r="B2" s="5" t="s">
        <v>9</v>
      </c>
      <c r="C2" s="5" t="s">
        <v>10</v>
      </c>
      <c r="D2" s="5" t="s">
        <v>74</v>
      </c>
      <c r="E2" s="5" t="s">
        <v>53</v>
      </c>
      <c r="F2" s="5" t="s">
        <v>55</v>
      </c>
      <c r="G2" s="5" t="s">
        <v>56</v>
      </c>
      <c r="H2" s="5" t="s">
        <v>57</v>
      </c>
      <c r="L2" s="306" t="str">
        <f>Main!A39</f>
        <v>Key Parameters</v>
      </c>
      <c r="M2" s="306">
        <f>Main!B39</f>
        <v>0</v>
      </c>
      <c r="N2" s="306" t="str">
        <f>Main!D39</f>
        <v>Est. Sugar Composition</v>
      </c>
      <c r="O2" s="306">
        <f>Main!E39</f>
        <v>0</v>
      </c>
      <c r="P2" s="306">
        <f>Main!F39</f>
        <v>0</v>
      </c>
    </row>
    <row r="3" spans="1:16" s="1" customFormat="1" x14ac:dyDescent="0.2">
      <c r="A3" s="265" t="s">
        <v>509</v>
      </c>
      <c r="B3" s="251">
        <f>IF(ISBLANK(A3)=FALSE,VLOOKUP(A3,Adjunct_Table,3,FALSE),0)</f>
        <v>1.0449999999999999</v>
      </c>
      <c r="C3" s="271">
        <v>3</v>
      </c>
      <c r="D3" s="251">
        <f>IF(ISBLANK(A3)=FALSE,VLOOKUP(A3,Adjunct_Table,4,FALSE),0)</f>
        <v>50</v>
      </c>
      <c r="E3" s="251">
        <f>IF(ISBLANK(A3),0,C3*D3)</f>
        <v>150</v>
      </c>
      <c r="F3" s="251">
        <f>IF(ISBLANK(A3),0,C3*(B3-1))</f>
        <v>0.13499999999999979</v>
      </c>
      <c r="G3" s="248">
        <f>IF(ISBLANK(A3)=FALSE,VLOOKUP(A3,Adjunct_Table,2,FALSE),0)</f>
        <v>1.2</v>
      </c>
      <c r="H3" s="248">
        <f>C3*G3</f>
        <v>3.5999999999999996</v>
      </c>
      <c r="L3" s="48" t="str">
        <f>Main!A40</f>
        <v>Boil Gravity</v>
      </c>
      <c r="M3" s="49">
        <f>Main!B40</f>
        <v>1.0700335999999999</v>
      </c>
      <c r="N3" s="24" t="str">
        <f>Main!D40</f>
        <v>Dextrose</v>
      </c>
      <c r="O3" s="24"/>
      <c r="P3" s="50">
        <f>Main!F40</f>
        <v>0.76838838503308848</v>
      </c>
    </row>
    <row r="4" spans="1:16" s="1" customFormat="1" x14ac:dyDescent="0.2">
      <c r="A4" s="265"/>
      <c r="B4" s="251">
        <f>IF(ISBLANK(A4)=FALSE,VLOOKUP(A4,Adjunct_Table,3,FALSE),0)</f>
        <v>0</v>
      </c>
      <c r="C4" s="271"/>
      <c r="D4" s="251">
        <f>IF(ISBLANK(A4)=FALSE,VLOOKUP(A4,Adjunct_Table,4,FALSE),0)</f>
        <v>0</v>
      </c>
      <c r="E4" s="251">
        <f t="shared" ref="E4:E6" si="0">IF(ISBLANK(A4),0,C4*D4)</f>
        <v>0</v>
      </c>
      <c r="F4" s="251">
        <f t="shared" ref="F4:F6" si="1">IF(ISBLANK(A4),0,C4*(B4-1))</f>
        <v>0</v>
      </c>
      <c r="G4" s="248">
        <f>IF(ISBLANK(A4)=FALSE,VLOOKUP(A4,Adjunct_Table,2,FALSE),0)</f>
        <v>0</v>
      </c>
      <c r="H4" s="248">
        <f t="shared" ref="H4:H6" si="2">C4*G4</f>
        <v>0</v>
      </c>
      <c r="L4" s="48" t="str">
        <f>Main!A41</f>
        <v>SGs</v>
      </c>
      <c r="M4" s="49">
        <f>Main!B41</f>
        <v>1.0835335999999998</v>
      </c>
      <c r="N4" s="24" t="str">
        <f>Main!D41</f>
        <v>Maltose</v>
      </c>
      <c r="O4" s="24"/>
      <c r="P4" s="50">
        <f>Main!F41</f>
        <v>0</v>
      </c>
    </row>
    <row r="5" spans="1:16" s="1" customFormat="1" ht="13.5" customHeight="1" x14ac:dyDescent="0.2">
      <c r="A5" s="265"/>
      <c r="B5" s="251">
        <f>IF(ISBLANK(A5)=FALSE,VLOOKUP(A5,Adjunct_Table,3,FALSE),0)</f>
        <v>0</v>
      </c>
      <c r="C5" s="271"/>
      <c r="D5" s="251">
        <f>IF(ISBLANK(A5)=FALSE,VLOOKUP(A5,Adjunct_Table,4,FALSE),0)</f>
        <v>0</v>
      </c>
      <c r="E5" s="251">
        <f t="shared" si="0"/>
        <v>0</v>
      </c>
      <c r="F5" s="251">
        <f t="shared" si="1"/>
        <v>0</v>
      </c>
      <c r="G5" s="248">
        <f>IF(ISBLANK(A5)=FALSE,VLOOKUP(A5,Adjunct_Table,2,FALSE),0)</f>
        <v>0</v>
      </c>
      <c r="H5" s="248">
        <f t="shared" si="2"/>
        <v>0</v>
      </c>
      <c r="L5" s="48" t="str">
        <f>Main!A42</f>
        <v>SGf</v>
      </c>
      <c r="M5" s="49">
        <f>Main!B42</f>
        <v>1.012</v>
      </c>
      <c r="N5" s="24" t="str">
        <f>Main!D42</f>
        <v>Simple Sugars</v>
      </c>
      <c r="O5" s="24"/>
      <c r="P5" s="50">
        <f>Main!F42</f>
        <v>0.23161161496691154</v>
      </c>
    </row>
    <row r="6" spans="1:16" s="1" customFormat="1" ht="15.75" customHeight="1" x14ac:dyDescent="0.2">
      <c r="A6" s="265"/>
      <c r="B6" s="251">
        <f>IF(ISBLANK(A6)=FALSE,VLOOKUP(A6,Adjunct_Table,3,FALSE),0)</f>
        <v>0</v>
      </c>
      <c r="C6" s="271"/>
      <c r="D6" s="251">
        <f>IF(ISBLANK(A6)=FALSE,VLOOKUP(A6,Adjunct_Table,4,FALSE),0)</f>
        <v>0</v>
      </c>
      <c r="E6" s="251">
        <f t="shared" si="0"/>
        <v>0</v>
      </c>
      <c r="F6" s="251">
        <f t="shared" si="1"/>
        <v>0</v>
      </c>
      <c r="G6" s="248">
        <f>IF(ISBLANK(A6)=FALSE,VLOOKUP(A6,Adjunct_Table,2,FALSE),0)</f>
        <v>0</v>
      </c>
      <c r="H6" s="248">
        <f t="shared" si="2"/>
        <v>0</v>
      </c>
      <c r="K6" s="2"/>
      <c r="L6" s="48" t="str">
        <f>Main!A43</f>
        <v>SRMb</v>
      </c>
      <c r="M6" s="51">
        <f>Main!B43</f>
        <v>13.42361307947359</v>
      </c>
      <c r="N6" s="307" t="str">
        <f>Main!D43</f>
        <v>Other Non-Fermentable Sugars</v>
      </c>
      <c r="O6" s="307">
        <f>Main!E43</f>
        <v>0</v>
      </c>
      <c r="P6" s="50">
        <f>Main!F43</f>
        <v>0</v>
      </c>
    </row>
    <row r="7" spans="1:16" s="1" customFormat="1" ht="25.5" customHeight="1" x14ac:dyDescent="0.2">
      <c r="A7" s="306" t="s">
        <v>13</v>
      </c>
      <c r="B7" s="306"/>
      <c r="C7" s="306"/>
      <c r="D7" s="306"/>
      <c r="E7" s="306"/>
      <c r="F7" s="306"/>
      <c r="G7" s="306"/>
      <c r="H7" s="306"/>
      <c r="L7" s="48" t="str">
        <f>Main!A44</f>
        <v>IBU</v>
      </c>
      <c r="M7" s="52">
        <f>Main!B44</f>
        <v>41.947003683797782</v>
      </c>
      <c r="N7" s="53"/>
      <c r="O7" s="53"/>
      <c r="P7" s="53"/>
    </row>
    <row r="8" spans="1:16" s="1" customFormat="1" ht="25.5" x14ac:dyDescent="0.2">
      <c r="A8" s="5" t="s">
        <v>8</v>
      </c>
      <c r="B8" s="5" t="s">
        <v>9</v>
      </c>
      <c r="C8" s="5" t="s">
        <v>10</v>
      </c>
      <c r="D8" s="5" t="s">
        <v>74</v>
      </c>
      <c r="E8" s="5" t="s">
        <v>53</v>
      </c>
      <c r="F8" s="5" t="s">
        <v>55</v>
      </c>
      <c r="G8" s="5" t="s">
        <v>56</v>
      </c>
      <c r="H8" s="5" t="s">
        <v>57</v>
      </c>
      <c r="L8" s="51" t="str">
        <f>Main!A45</f>
        <v>% ABV (Miller)</v>
      </c>
      <c r="M8" s="54">
        <f>Main!B45</f>
        <v>9.5378133333333004E-2</v>
      </c>
      <c r="N8" s="53"/>
      <c r="O8" s="53"/>
      <c r="P8" s="53"/>
    </row>
    <row r="9" spans="1:16" s="1" customFormat="1" x14ac:dyDescent="0.2">
      <c r="A9" s="272"/>
      <c r="B9" s="251">
        <f>IF(ISBLANK(A9)=FALSE,VLOOKUP(A9,Adjunct_Table,3,FALSE),0)</f>
        <v>0</v>
      </c>
      <c r="C9" s="271"/>
      <c r="D9" s="251">
        <f>IF(ISBLANK(A9)=FALSE,VLOOKUP(A9,Adjunct_Table,4,FALSE),0)</f>
        <v>0</v>
      </c>
      <c r="E9" s="251">
        <f>IF(ISBLANK(A9),0,C9*D9)</f>
        <v>0</v>
      </c>
      <c r="F9" s="251">
        <f>IF(ISBLANK(A9),0,C9*(B9-1))</f>
        <v>0</v>
      </c>
      <c r="G9" s="248">
        <f>IF(ISBLANK(A9)=FALSE,VLOOKUP(A9,Adjunct_Table,2,FALSE),0)</f>
        <v>0</v>
      </c>
      <c r="H9" s="248">
        <f>C9*G9</f>
        <v>0</v>
      </c>
      <c r="K9" s="2"/>
    </row>
    <row r="10" spans="1:16" s="1" customFormat="1" x14ac:dyDescent="0.2">
      <c r="A10" s="272"/>
      <c r="B10" s="251">
        <f>IF(ISBLANK(A10)=FALSE,VLOOKUP(A10,Adjunct_Table,3,FALSE),0)</f>
        <v>0</v>
      </c>
      <c r="C10" s="271"/>
      <c r="D10" s="251">
        <f>IF(ISBLANK(A10)=FALSE,VLOOKUP(A10,Adjunct_Table,4,FALSE),0)</f>
        <v>0</v>
      </c>
      <c r="E10" s="251">
        <f t="shared" ref="E10:E12" si="3">IF(ISBLANK(A10),0,C10*D10)</f>
        <v>0</v>
      </c>
      <c r="F10" s="251">
        <f t="shared" ref="F10:F12" si="4">IF(ISBLANK(A10),0,C10*(B10-1))</f>
        <v>0</v>
      </c>
      <c r="G10" s="248">
        <f>IF(ISBLANK(A10)=FALSE,VLOOKUP(A10,Adjunct_Table,2,FALSE),0)</f>
        <v>0</v>
      </c>
      <c r="H10" s="248">
        <f t="shared" ref="H10:H12" si="5">C10*G10</f>
        <v>0</v>
      </c>
      <c r="K10" s="2"/>
    </row>
    <row r="11" spans="1:16" s="1" customFormat="1" x14ac:dyDescent="0.2">
      <c r="A11" s="272"/>
      <c r="B11" s="251">
        <f>IF(ISBLANK(A11)=FALSE,VLOOKUP(A11,Adjunct_Table,3,FALSE),0)</f>
        <v>0</v>
      </c>
      <c r="C11" s="271"/>
      <c r="D11" s="251">
        <f>IF(ISBLANK(A11)=FALSE,VLOOKUP(A11,Adjunct_Table,4,FALSE),0)</f>
        <v>0</v>
      </c>
      <c r="E11" s="251">
        <f t="shared" si="3"/>
        <v>0</v>
      </c>
      <c r="F11" s="251">
        <f t="shared" si="4"/>
        <v>0</v>
      </c>
      <c r="G11" s="248">
        <f>IF(ISBLANK(A11)=FALSE,VLOOKUP(A11,Adjunct_Table,2,FALSE),0)</f>
        <v>0</v>
      </c>
      <c r="H11" s="248">
        <f t="shared" si="5"/>
        <v>0</v>
      </c>
      <c r="I11" s="8"/>
      <c r="K11" s="2"/>
    </row>
    <row r="12" spans="1:16" x14ac:dyDescent="0.2">
      <c r="A12" s="272"/>
      <c r="B12" s="251">
        <f>IF(ISBLANK(A12)=FALSE,VLOOKUP(A12,Adjunct_Table,3,FALSE),0)</f>
        <v>0</v>
      </c>
      <c r="C12" s="267"/>
      <c r="D12" s="251">
        <f>IF(ISBLANK(A12)=FALSE,VLOOKUP(A12,Adjunct_Table,4,FALSE),0)</f>
        <v>0</v>
      </c>
      <c r="E12" s="251">
        <f t="shared" si="3"/>
        <v>0</v>
      </c>
      <c r="F12" s="251">
        <f t="shared" si="4"/>
        <v>0</v>
      </c>
      <c r="G12" s="248">
        <f>IF(ISBLANK(A12)=FALSE,VLOOKUP(A12,Adjunct_Table,2,FALSE),0)</f>
        <v>0</v>
      </c>
      <c r="H12" s="248">
        <f t="shared" si="5"/>
        <v>0</v>
      </c>
    </row>
    <row r="13" spans="1:16" x14ac:dyDescent="0.2">
      <c r="A13" s="273"/>
      <c r="B13" s="251">
        <f>IF(ISBLANK(A13)=FALSE,VLOOKUP(A13,Adjunct_Table,3,FALSE),0)</f>
        <v>0</v>
      </c>
      <c r="C13" s="267"/>
      <c r="D13" s="251">
        <f>IF(ISBLANK(A13)=FALSE,VLOOKUP(A13,Adjunct_Table,4,FALSE),0)</f>
        <v>0</v>
      </c>
      <c r="E13" s="251">
        <f>IF(ISBLANK(A13),0,C13*D13)</f>
        <v>0</v>
      </c>
      <c r="F13" s="251">
        <f>IF(ISBLANK(A13),0,C13*(B13-1))</f>
        <v>0</v>
      </c>
      <c r="G13" s="248">
        <f>IF(ISBLANK(A13)=FALSE,VLOOKUP(A13,Adjunct_Table,2,FALSE),0)</f>
        <v>0</v>
      </c>
      <c r="H13" s="248">
        <f>C13*G13</f>
        <v>0</v>
      </c>
    </row>
    <row r="14" spans="1:16" x14ac:dyDescent="0.2">
      <c r="A14" s="252"/>
      <c r="G14" s="42" t="s">
        <v>62</v>
      </c>
      <c r="H14" s="57">
        <f>SUM(H9:H12,H3:H6)</f>
        <v>3.5999999999999996</v>
      </c>
    </row>
  </sheetData>
  <sheetProtection sheet="1" objects="1" scenarios="1" selectLockedCells="1"/>
  <mergeCells count="5">
    <mergeCell ref="A1:H1"/>
    <mergeCell ref="L2:M2"/>
    <mergeCell ref="N2:P2"/>
    <mergeCell ref="N6:O6"/>
    <mergeCell ref="A7:H7"/>
  </mergeCells>
  <dataValidations count="1">
    <dataValidation type="list" allowBlank="1" showInputMessage="1" showErrorMessage="1" sqref="A3:A6">
      <formula1>Adjuncts</formula1>
    </dataValidation>
  </dataValidations>
  <pageMargins left="0.7" right="0.7" top="0.75" bottom="0.75" header="0.51180555555555551" footer="0.51180555555555551"/>
  <pageSetup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E18"/>
  <sheetViews>
    <sheetView tabSelected="1" workbookViewId="0">
      <selection activeCell="A10" sqref="A10"/>
    </sheetView>
  </sheetViews>
  <sheetFormatPr defaultColWidth="9.28515625" defaultRowHeight="12.75" x14ac:dyDescent="0.2"/>
  <cols>
    <col min="1" max="1" width="21.42578125" style="42" customWidth="1"/>
    <col min="2" max="2" width="12.140625" style="42" customWidth="1"/>
    <col min="3" max="3" width="13.85546875" style="42" customWidth="1"/>
    <col min="4" max="4" width="14.5703125" style="42" customWidth="1"/>
    <col min="5" max="5" width="47.42578125" style="42" customWidth="1"/>
    <col min="6" max="16384" width="9.28515625" style="42"/>
  </cols>
  <sheetData>
    <row r="1" spans="1:5" ht="25.5" x14ac:dyDescent="0.2">
      <c r="A1" s="12" t="s">
        <v>76</v>
      </c>
      <c r="B1" s="1"/>
      <c r="C1" s="1"/>
      <c r="D1" s="2"/>
      <c r="E1" s="1"/>
    </row>
    <row r="2" spans="1:5" x14ac:dyDescent="0.2">
      <c r="A2" s="276">
        <v>18</v>
      </c>
      <c r="B2" s="42" t="s">
        <v>77</v>
      </c>
    </row>
    <row r="3" spans="1:5" x14ac:dyDescent="0.2">
      <c r="A3" s="62">
        <f>1.000019+0.003865613*(A2)+0.00001296425*(A2*A2)+0.00000005701128*(A2*A2*A2)</f>
        <v>1.07413294078496</v>
      </c>
      <c r="B3" s="42" t="s">
        <v>78</v>
      </c>
      <c r="E3" s="42" t="s">
        <v>508</v>
      </c>
    </row>
    <row r="4" spans="1:5" x14ac:dyDescent="0.2">
      <c r="A4" s="63">
        <f>A3+SUM(Adjuncts!F3:F6)/Main!B7</f>
        <v>1.0876329407849601</v>
      </c>
      <c r="B4" s="42" t="s">
        <v>79</v>
      </c>
    </row>
    <row r="7" spans="1:5" x14ac:dyDescent="0.2">
      <c r="A7" s="34" t="s">
        <v>80</v>
      </c>
      <c r="B7" s="34"/>
      <c r="C7" s="34"/>
      <c r="D7" s="34"/>
      <c r="E7" s="34"/>
    </row>
    <row r="8" spans="1:5" x14ac:dyDescent="0.2">
      <c r="A8" s="276">
        <v>21.2</v>
      </c>
      <c r="B8" s="64" t="s">
        <v>366</v>
      </c>
      <c r="C8" s="65"/>
      <c r="D8" s="66"/>
      <c r="E8" s="34"/>
    </row>
    <row r="9" spans="1:5" x14ac:dyDescent="0.2">
      <c r="A9" s="62">
        <f>1.000019+0.003865613*(A8)+0.00001296425*(A8*A8)+0.00000005701128*(A8*A8*A8)</f>
        <v>1.0883398588932838</v>
      </c>
      <c r="B9" s="65" t="s">
        <v>81</v>
      </c>
      <c r="C9" s="65"/>
      <c r="D9" s="65"/>
      <c r="E9" s="34"/>
    </row>
    <row r="10" spans="1:5" x14ac:dyDescent="0.2">
      <c r="A10" s="34"/>
      <c r="B10" s="34"/>
      <c r="C10" s="34"/>
      <c r="D10" s="34"/>
      <c r="E10" s="34"/>
    </row>
    <row r="11" spans="1:5" ht="38.25" x14ac:dyDescent="0.2">
      <c r="A11" s="67" t="s">
        <v>82</v>
      </c>
      <c r="B11" s="67" t="s">
        <v>83</v>
      </c>
      <c r="C11" s="67" t="s">
        <v>84</v>
      </c>
      <c r="D11" s="67" t="s">
        <v>85</v>
      </c>
      <c r="E11" s="68" t="s">
        <v>86</v>
      </c>
    </row>
    <row r="12" spans="1:5" x14ac:dyDescent="0.2">
      <c r="A12" s="277"/>
      <c r="B12" s="69">
        <v>68</v>
      </c>
      <c r="C12" s="70" t="str">
        <f t="shared" ref="C12:C18" si="0">IF(A12&gt;0,(1.001843-0.002318474*(A$8)-0.000007775*(A$8^2)-0.000000034*(A$8^3)+0.00574*($A12)+0.00003344*($A12^2)+0.000000086*($A12^3))+(1.313454-0.132674*B12+0.002057793*(B12^2)-0.000002627634*(B12^3))*0.001,"")</f>
        <v/>
      </c>
      <c r="D12" s="71"/>
      <c r="E12" s="72" t="s">
        <v>87</v>
      </c>
    </row>
    <row r="13" spans="1:5" x14ac:dyDescent="0.2">
      <c r="A13" s="278">
        <v>16</v>
      </c>
      <c r="B13" s="278">
        <v>68</v>
      </c>
      <c r="C13" s="73">
        <f t="shared" si="0"/>
        <v>1.0506065394661119</v>
      </c>
      <c r="D13" s="279"/>
      <c r="E13" s="280"/>
    </row>
    <row r="14" spans="1:5" x14ac:dyDescent="0.2">
      <c r="A14" s="278"/>
      <c r="B14" s="278"/>
      <c r="C14" s="73" t="str">
        <f t="shared" si="0"/>
        <v/>
      </c>
      <c r="D14" s="281"/>
      <c r="E14" s="280"/>
    </row>
    <row r="15" spans="1:5" x14ac:dyDescent="0.2">
      <c r="A15" s="278"/>
      <c r="B15" s="278"/>
      <c r="C15" s="73" t="str">
        <f t="shared" si="0"/>
        <v/>
      </c>
      <c r="D15" s="281"/>
      <c r="E15" s="280"/>
    </row>
    <row r="16" spans="1:5" x14ac:dyDescent="0.2">
      <c r="A16" s="278"/>
      <c r="B16" s="278"/>
      <c r="C16" s="73" t="str">
        <f t="shared" si="0"/>
        <v/>
      </c>
      <c r="D16" s="281"/>
      <c r="E16" s="280"/>
    </row>
    <row r="17" spans="1:5" x14ac:dyDescent="0.2">
      <c r="A17" s="278"/>
      <c r="B17" s="278"/>
      <c r="C17" s="73" t="str">
        <f t="shared" si="0"/>
        <v/>
      </c>
      <c r="D17" s="281"/>
      <c r="E17" s="280"/>
    </row>
    <row r="18" spans="1:5" x14ac:dyDescent="0.2">
      <c r="A18" s="278"/>
      <c r="B18" s="278"/>
      <c r="C18" s="73" t="str">
        <f t="shared" si="0"/>
        <v/>
      </c>
      <c r="D18" s="281"/>
      <c r="E18" s="280"/>
    </row>
  </sheetData>
  <sheetProtection selectLockedCells="1"/>
  <pageMargins left="0.7" right="0.7" top="0.75" bottom="0.75" header="0.51180555555555551" footer="0.51180555555555551"/>
  <pageSetup firstPageNumber="0" orientation="portrait" horizontalDpi="300" verticalDpi="300"/>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5123" r:id="rId3" name="Button 3">
              <controlPr defaultSize="0" print="0" autoFill="0" autoPict="0" macro="[0]!Refractometer_Button3_Click">
                <anchor moveWithCells="1" sizeWithCells="1">
                  <from>
                    <xdr:col>4</xdr:col>
                    <xdr:colOff>9525</xdr:colOff>
                    <xdr:row>6</xdr:row>
                    <xdr:rowOff>142875</xdr:rowOff>
                  </from>
                  <to>
                    <xdr:col>4</xdr:col>
                    <xdr:colOff>1543050</xdr:colOff>
                    <xdr:row>7</xdr:row>
                    <xdr:rowOff>133350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13"/>
  <sheetViews>
    <sheetView workbookViewId="0">
      <selection activeCell="C4" sqref="C4"/>
    </sheetView>
  </sheetViews>
  <sheetFormatPr defaultColWidth="9.28515625" defaultRowHeight="12.75" x14ac:dyDescent="0.2"/>
  <cols>
    <col min="1" max="1" width="30.28515625" style="42" customWidth="1"/>
    <col min="2" max="2" width="9.28515625" style="42"/>
    <col min="3" max="3" width="10.140625" style="42" customWidth="1"/>
    <col min="4" max="4" width="11.7109375" style="42" customWidth="1"/>
    <col min="5" max="5" width="9.28515625" style="42"/>
    <col min="6" max="7" width="15.7109375" style="42" customWidth="1"/>
    <col min="8" max="16384" width="9.28515625" style="42"/>
  </cols>
  <sheetData>
    <row r="1" spans="1:7" ht="12.75" customHeight="1" x14ac:dyDescent="0.2">
      <c r="A1" s="42" t="s">
        <v>88</v>
      </c>
      <c r="B1" s="2">
        <f>Grainbill_Total</f>
        <v>33.620000000000005</v>
      </c>
      <c r="F1" s="74" t="s">
        <v>89</v>
      </c>
      <c r="G1" s="32" t="s">
        <v>90</v>
      </c>
    </row>
    <row r="2" spans="1:7" ht="12.75" customHeight="1" x14ac:dyDescent="0.2">
      <c r="A2" s="42" t="s">
        <v>91</v>
      </c>
      <c r="B2" s="2">
        <f>Adjunct_Total</f>
        <v>3.5999999999999996</v>
      </c>
      <c r="F2" s="74"/>
      <c r="G2" s="32"/>
    </row>
    <row r="3" spans="1:7" ht="12.75" customHeight="1" x14ac:dyDescent="0.2">
      <c r="A3" s="1" t="s">
        <v>92</v>
      </c>
      <c r="B3" s="2">
        <f>SUM(Main!F4:F5)</f>
        <v>0</v>
      </c>
      <c r="F3" s="59">
        <f>C13*Main!B7/5</f>
        <v>160</v>
      </c>
      <c r="G3" s="75">
        <f>F3-B5</f>
        <v>117.88390625</v>
      </c>
    </row>
    <row r="4" spans="1:7" ht="12.75" customHeight="1" x14ac:dyDescent="0.2">
      <c r="A4" s="1" t="s">
        <v>93</v>
      </c>
      <c r="B4" s="2">
        <f>Hop_Total</f>
        <v>4.8960937500000004</v>
      </c>
      <c r="F4" s="2"/>
      <c r="G4" s="76"/>
    </row>
    <row r="5" spans="1:7" ht="12.75" customHeight="1" x14ac:dyDescent="0.2">
      <c r="A5" s="6" t="s">
        <v>94</v>
      </c>
      <c r="B5" s="77">
        <f>SUM(B1:B4)</f>
        <v>42.116093750000005</v>
      </c>
    </row>
    <row r="6" spans="1:7" ht="12.75" customHeight="1" x14ac:dyDescent="0.2">
      <c r="A6" s="1"/>
      <c r="B6" s="78"/>
    </row>
    <row r="7" spans="1:7" ht="12.75" customHeight="1" x14ac:dyDescent="0.2">
      <c r="A7" s="1" t="s">
        <v>95</v>
      </c>
      <c r="B7" s="78">
        <f>B5/Main!B7</f>
        <v>4.2116093750000001</v>
      </c>
    </row>
    <row r="8" spans="1:7" ht="12.75" customHeight="1" x14ac:dyDescent="0.2">
      <c r="A8" s="1" t="s">
        <v>96</v>
      </c>
      <c r="B8" s="78">
        <f>B7/CONVERT(1,"gal","oz")*12</f>
        <v>0.39483837890625001</v>
      </c>
    </row>
    <row r="10" spans="1:7" ht="12.75" customHeight="1" x14ac:dyDescent="0.2">
      <c r="A10" s="32" t="s">
        <v>97</v>
      </c>
      <c r="B10" s="79" t="s">
        <v>98</v>
      </c>
      <c r="C10" s="74" t="s">
        <v>99</v>
      </c>
      <c r="D10" s="32" t="s">
        <v>100</v>
      </c>
    </row>
    <row r="11" spans="1:7" x14ac:dyDescent="0.2">
      <c r="A11" s="10" t="s">
        <v>101</v>
      </c>
      <c r="B11" s="75">
        <f>B8*6</f>
        <v>2.3690302734375002</v>
      </c>
      <c r="C11" s="59">
        <v>9</v>
      </c>
      <c r="D11" s="59">
        <f>(C11-B11)/CONVERT(6*12,"oz","gal")</f>
        <v>11.788390624999998</v>
      </c>
    </row>
    <row r="12" spans="1:7" x14ac:dyDescent="0.2">
      <c r="A12" s="10" t="s">
        <v>102</v>
      </c>
      <c r="B12" s="75">
        <f>B7*2.5</f>
        <v>10.529023437500001</v>
      </c>
      <c r="C12" s="59">
        <v>40</v>
      </c>
      <c r="D12" s="59">
        <f>(C12-B12)/2.5</f>
        <v>11.788390625</v>
      </c>
    </row>
    <row r="13" spans="1:7" x14ac:dyDescent="0.2">
      <c r="A13" s="10" t="s">
        <v>103</v>
      </c>
      <c r="B13" s="75">
        <f>B7*5</f>
        <v>21.058046875000002</v>
      </c>
      <c r="C13" s="59">
        <v>80</v>
      </c>
      <c r="D13" s="59">
        <f>(C13-B13)/5</f>
        <v>11.788390625</v>
      </c>
    </row>
  </sheetData>
  <sheetProtection selectLockedCells="1" selectUnlockedCells="1"/>
  <pageMargins left="0.7" right="0.7" top="0.75" bottom="0.75" header="0.51180555555555551" footer="0.51180555555555551"/>
  <pageSetup firstPageNumber="0"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255"/>
  <sheetViews>
    <sheetView topLeftCell="A220" workbookViewId="0">
      <selection activeCell="C135" sqref="C135"/>
    </sheetView>
  </sheetViews>
  <sheetFormatPr defaultColWidth="9.28515625" defaultRowHeight="12.75" outlineLevelRow="1" x14ac:dyDescent="0.2"/>
  <cols>
    <col min="1" max="1" width="28" style="42" customWidth="1"/>
    <col min="2" max="2" width="11.140625" style="42" customWidth="1"/>
    <col min="3" max="3" width="11.5703125" style="42" customWidth="1"/>
    <col min="4" max="4" width="13.140625" style="42" customWidth="1"/>
    <col min="5" max="5" width="24" style="42" customWidth="1"/>
    <col min="6" max="10" width="9.28515625" style="42"/>
    <col min="11" max="11" width="23.85546875" style="42" customWidth="1"/>
    <col min="12" max="16384" width="9.28515625" style="42"/>
  </cols>
  <sheetData>
    <row r="1" spans="1:11" s="81" customFormat="1" x14ac:dyDescent="0.2">
      <c r="A1" s="80" t="s">
        <v>7</v>
      </c>
      <c r="B1" s="80" t="s">
        <v>104</v>
      </c>
      <c r="C1" s="80" t="s">
        <v>9</v>
      </c>
      <c r="D1" s="80" t="s">
        <v>11</v>
      </c>
      <c r="E1" s="250" t="s">
        <v>501</v>
      </c>
    </row>
    <row r="2" spans="1:11" outlineLevel="1" x14ac:dyDescent="0.2">
      <c r="A2" s="82" t="s">
        <v>58</v>
      </c>
      <c r="B2" s="83">
        <v>1.0900000000000001</v>
      </c>
      <c r="C2" s="84">
        <v>1.0369999999999999</v>
      </c>
      <c r="D2" s="85">
        <v>1.5</v>
      </c>
      <c r="J2" s="34"/>
      <c r="K2"/>
    </row>
    <row r="3" spans="1:11" outlineLevel="1" x14ac:dyDescent="0.2">
      <c r="A3" s="82" t="s">
        <v>59</v>
      </c>
      <c r="B3" s="83">
        <v>1.61</v>
      </c>
      <c r="C3" s="84">
        <v>1.0369999999999999</v>
      </c>
      <c r="D3" s="85">
        <v>15</v>
      </c>
      <c r="J3" s="34"/>
      <c r="K3"/>
    </row>
    <row r="4" spans="1:11" outlineLevel="1" x14ac:dyDescent="0.2">
      <c r="A4" s="82" t="s">
        <v>60</v>
      </c>
      <c r="B4" s="83">
        <v>1.0900000000000001</v>
      </c>
      <c r="C4" s="84">
        <v>1.0369999999999999</v>
      </c>
      <c r="D4" s="85">
        <v>3</v>
      </c>
      <c r="J4" s="34"/>
      <c r="K4"/>
    </row>
    <row r="5" spans="1:11" outlineLevel="1" x14ac:dyDescent="0.2">
      <c r="A5" s="82" t="s">
        <v>61</v>
      </c>
      <c r="B5" s="83">
        <v>1.0900000000000001</v>
      </c>
      <c r="C5" s="84">
        <v>1.0369999999999999</v>
      </c>
      <c r="D5" s="85">
        <v>3</v>
      </c>
      <c r="J5" s="34"/>
      <c r="K5"/>
    </row>
    <row r="6" spans="1:11" outlineLevel="1" x14ac:dyDescent="0.2">
      <c r="A6" s="82" t="s">
        <v>105</v>
      </c>
      <c r="B6" s="83">
        <v>1.0900000000000001</v>
      </c>
      <c r="C6" s="84"/>
      <c r="D6" s="85"/>
      <c r="J6" s="34"/>
      <c r="K6"/>
    </row>
    <row r="7" spans="1:11" outlineLevel="1" x14ac:dyDescent="0.2">
      <c r="A7" s="82" t="s">
        <v>106</v>
      </c>
      <c r="B7" s="83">
        <v>1.0900000000000001</v>
      </c>
      <c r="C7" s="84">
        <v>1.0369999999999999</v>
      </c>
      <c r="D7" s="85">
        <v>9</v>
      </c>
      <c r="J7" s="34"/>
      <c r="K7"/>
    </row>
    <row r="8" spans="1:11" outlineLevel="1" x14ac:dyDescent="0.2">
      <c r="A8" s="82" t="s">
        <v>107</v>
      </c>
      <c r="B8" s="83">
        <v>1.0900000000000001</v>
      </c>
      <c r="C8" s="84"/>
      <c r="D8" s="85"/>
      <c r="J8" s="34"/>
      <c r="K8"/>
    </row>
    <row r="9" spans="1:11" outlineLevel="1" x14ac:dyDescent="0.2">
      <c r="A9" s="82" t="s">
        <v>108</v>
      </c>
      <c r="B9" s="83">
        <v>1.0900000000000001</v>
      </c>
      <c r="C9" s="84"/>
      <c r="D9" s="85"/>
      <c r="J9" s="34"/>
      <c r="K9"/>
    </row>
    <row r="10" spans="1:11" outlineLevel="1" x14ac:dyDescent="0.2">
      <c r="A10" s="82" t="s">
        <v>109</v>
      </c>
      <c r="B10" s="83">
        <v>1.0900000000000001</v>
      </c>
      <c r="C10" s="84"/>
      <c r="D10" s="85"/>
      <c r="J10" s="34"/>
      <c r="K10"/>
    </row>
    <row r="11" spans="1:11" outlineLevel="1" x14ac:dyDescent="0.2">
      <c r="A11" s="82" t="s">
        <v>110</v>
      </c>
      <c r="B11" s="83">
        <v>1.0900000000000001</v>
      </c>
      <c r="C11" s="84"/>
      <c r="D11" s="85"/>
      <c r="J11" s="34"/>
      <c r="K11"/>
    </row>
    <row r="12" spans="1:11" outlineLevel="1" x14ac:dyDescent="0.2">
      <c r="A12" s="82" t="s">
        <v>111</v>
      </c>
      <c r="B12" s="83">
        <v>1.0900000000000001</v>
      </c>
      <c r="C12" s="84">
        <v>1.0349999999999999</v>
      </c>
      <c r="D12" s="85">
        <v>2</v>
      </c>
      <c r="J12" s="34"/>
      <c r="K12"/>
    </row>
    <row r="13" spans="1:11" outlineLevel="1" x14ac:dyDescent="0.2">
      <c r="A13" s="82" t="s">
        <v>112</v>
      </c>
      <c r="B13" s="83">
        <v>1.6</v>
      </c>
      <c r="C13" s="84"/>
      <c r="D13" s="85"/>
      <c r="J13" s="34"/>
      <c r="K13"/>
    </row>
    <row r="14" spans="1:11" outlineLevel="1" x14ac:dyDescent="0.2">
      <c r="A14" s="82" t="s">
        <v>113</v>
      </c>
      <c r="B14" s="83">
        <v>1.6</v>
      </c>
      <c r="C14" s="84">
        <v>1.036</v>
      </c>
      <c r="D14" s="85">
        <v>20</v>
      </c>
      <c r="J14" s="34"/>
      <c r="K14"/>
    </row>
    <row r="15" spans="1:11" outlineLevel="1" x14ac:dyDescent="0.2">
      <c r="A15" s="82" t="s">
        <v>114</v>
      </c>
      <c r="B15" s="83">
        <v>1.6</v>
      </c>
      <c r="C15" s="84"/>
      <c r="D15" s="85"/>
      <c r="J15" s="34"/>
      <c r="K15" s="86"/>
    </row>
    <row r="16" spans="1:11" outlineLevel="1" x14ac:dyDescent="0.2">
      <c r="A16" s="82" t="s">
        <v>115</v>
      </c>
      <c r="B16" s="83">
        <v>1.6</v>
      </c>
      <c r="C16" s="84"/>
      <c r="D16" s="85"/>
      <c r="J16" s="34"/>
      <c r="K16" s="86"/>
    </row>
    <row r="17" spans="1:11" outlineLevel="1" x14ac:dyDescent="0.2">
      <c r="A17" s="82" t="s">
        <v>116</v>
      </c>
      <c r="B17" s="83">
        <v>1.6</v>
      </c>
      <c r="C17" s="84"/>
      <c r="D17" s="85"/>
      <c r="J17" s="34"/>
      <c r="K17" s="86"/>
    </row>
    <row r="18" spans="1:11" outlineLevel="1" x14ac:dyDescent="0.2">
      <c r="A18" s="82" t="s">
        <v>117</v>
      </c>
      <c r="B18" s="83">
        <v>1.6</v>
      </c>
      <c r="C18" s="84"/>
      <c r="D18" s="85"/>
      <c r="J18" s="34"/>
      <c r="K18" s="86"/>
    </row>
    <row r="19" spans="1:11" outlineLevel="1" x14ac:dyDescent="0.2">
      <c r="A19" s="82" t="s">
        <v>118</v>
      </c>
      <c r="B19" s="83">
        <v>1.6</v>
      </c>
      <c r="C19" s="84"/>
      <c r="D19" s="85"/>
      <c r="J19" s="34"/>
      <c r="K19" s="86"/>
    </row>
    <row r="20" spans="1:11" outlineLevel="1" x14ac:dyDescent="0.2">
      <c r="A20" s="82" t="s">
        <v>119</v>
      </c>
      <c r="B20" s="83">
        <v>1.6</v>
      </c>
      <c r="C20" s="84"/>
      <c r="D20" s="85"/>
      <c r="J20" s="34"/>
      <c r="K20"/>
    </row>
    <row r="21" spans="1:11" outlineLevel="1" x14ac:dyDescent="0.2">
      <c r="A21" s="82" t="s">
        <v>120</v>
      </c>
      <c r="B21" s="83">
        <v>1.6</v>
      </c>
      <c r="C21" s="84">
        <v>1.0329999999999999</v>
      </c>
      <c r="D21" s="85">
        <v>2</v>
      </c>
      <c r="J21" s="34"/>
      <c r="K21"/>
    </row>
    <row r="22" spans="1:11" outlineLevel="1" x14ac:dyDescent="0.2">
      <c r="A22" s="82" t="s">
        <v>121</v>
      </c>
      <c r="B22" s="83">
        <v>1.6</v>
      </c>
      <c r="C22" s="84">
        <v>1.0369999999999999</v>
      </c>
      <c r="D22" s="85">
        <v>35</v>
      </c>
      <c r="J22" s="34"/>
      <c r="K22"/>
    </row>
    <row r="23" spans="1:11" outlineLevel="1" x14ac:dyDescent="0.2">
      <c r="A23" s="82" t="s">
        <v>122</v>
      </c>
      <c r="B23" s="83">
        <v>1.6</v>
      </c>
      <c r="C23" s="84">
        <v>1.0369999999999999</v>
      </c>
      <c r="D23" s="85">
        <v>60</v>
      </c>
      <c r="J23" s="34"/>
      <c r="K23"/>
    </row>
    <row r="24" spans="1:11" outlineLevel="1" x14ac:dyDescent="0.2">
      <c r="A24" s="82" t="s">
        <v>123</v>
      </c>
      <c r="B24" s="83">
        <v>1.6</v>
      </c>
      <c r="C24" s="84">
        <v>1.0369999999999999</v>
      </c>
      <c r="D24" s="85">
        <v>75</v>
      </c>
      <c r="J24" s="34"/>
      <c r="K24"/>
    </row>
    <row r="25" spans="1:11" outlineLevel="1" x14ac:dyDescent="0.2">
      <c r="A25" s="82" t="s">
        <v>124</v>
      </c>
      <c r="B25" s="83">
        <v>1.6</v>
      </c>
      <c r="C25" s="84">
        <v>1.0369999999999999</v>
      </c>
      <c r="D25" s="85">
        <v>120</v>
      </c>
      <c r="J25" s="34"/>
      <c r="K25"/>
    </row>
    <row r="26" spans="1:11" outlineLevel="1" x14ac:dyDescent="0.2">
      <c r="A26" s="82" t="s">
        <v>125</v>
      </c>
      <c r="B26" s="83">
        <v>1.6</v>
      </c>
      <c r="C26" s="84">
        <v>1.0369999999999999</v>
      </c>
      <c r="D26" s="85">
        <v>150</v>
      </c>
      <c r="J26" s="34"/>
      <c r="K26"/>
    </row>
    <row r="27" spans="1:11" outlineLevel="1" x14ac:dyDescent="0.2">
      <c r="A27" s="82" t="s">
        <v>126</v>
      </c>
      <c r="B27" s="83">
        <v>1.6</v>
      </c>
      <c r="C27" s="84">
        <v>1.032</v>
      </c>
      <c r="D27" s="85">
        <v>1.7</v>
      </c>
      <c r="J27" s="34"/>
      <c r="K27"/>
    </row>
    <row r="28" spans="1:11" outlineLevel="1" x14ac:dyDescent="0.2">
      <c r="A28" s="82" t="s">
        <v>127</v>
      </c>
      <c r="B28" s="83">
        <v>1.6</v>
      </c>
      <c r="C28" s="84">
        <v>1.0369999999999999</v>
      </c>
      <c r="D28" s="85">
        <v>1.3</v>
      </c>
      <c r="J28" s="34"/>
      <c r="K28"/>
    </row>
    <row r="29" spans="1:11" outlineLevel="1" x14ac:dyDescent="0.2">
      <c r="A29" s="82" t="s">
        <v>128</v>
      </c>
      <c r="B29" s="83">
        <v>1.6</v>
      </c>
      <c r="C29" s="84">
        <v>1.0369999999999999</v>
      </c>
      <c r="D29" s="85">
        <v>1</v>
      </c>
      <c r="J29" s="34"/>
      <c r="K29"/>
    </row>
    <row r="30" spans="1:11" outlineLevel="1" x14ac:dyDescent="0.2">
      <c r="A30" s="82" t="s">
        <v>129</v>
      </c>
      <c r="B30" s="83">
        <v>1.6</v>
      </c>
      <c r="C30" s="84">
        <v>1.032</v>
      </c>
      <c r="D30" s="85">
        <v>1</v>
      </c>
      <c r="J30" s="34"/>
      <c r="K30"/>
    </row>
    <row r="31" spans="1:11" outlineLevel="1" x14ac:dyDescent="0.2">
      <c r="A31" s="82" t="s">
        <v>130</v>
      </c>
      <c r="B31" s="83">
        <v>1.6</v>
      </c>
      <c r="C31" s="84">
        <v>1.036</v>
      </c>
      <c r="D31" s="85">
        <v>2</v>
      </c>
      <c r="J31" s="34"/>
      <c r="K31"/>
    </row>
    <row r="32" spans="1:11" outlineLevel="1" x14ac:dyDescent="0.2">
      <c r="A32" s="82" t="s">
        <v>131</v>
      </c>
      <c r="B32" s="83">
        <v>1.6</v>
      </c>
      <c r="C32" s="188">
        <v>1.0349999999999999</v>
      </c>
      <c r="D32" s="85">
        <v>1.6</v>
      </c>
      <c r="J32" s="34"/>
      <c r="K32"/>
    </row>
    <row r="33" spans="1:11" outlineLevel="1" x14ac:dyDescent="0.2">
      <c r="A33" s="82" t="s">
        <v>132</v>
      </c>
      <c r="B33" s="83">
        <v>1.6</v>
      </c>
      <c r="C33" s="188"/>
      <c r="D33" s="188"/>
      <c r="J33" s="34"/>
      <c r="K33"/>
    </row>
    <row r="34" spans="1:11" outlineLevel="1" x14ac:dyDescent="0.2">
      <c r="A34" s="82" t="s">
        <v>133</v>
      </c>
      <c r="B34" s="83">
        <v>1.6</v>
      </c>
      <c r="C34" s="84">
        <v>1.034</v>
      </c>
      <c r="D34" s="85">
        <v>3</v>
      </c>
      <c r="J34" s="34"/>
      <c r="K34"/>
    </row>
    <row r="35" spans="1:11" outlineLevel="1" x14ac:dyDescent="0.2">
      <c r="A35" s="82" t="s">
        <v>134</v>
      </c>
      <c r="B35" s="83">
        <v>1.6</v>
      </c>
      <c r="C35" s="84">
        <v>1.0369999999999999</v>
      </c>
      <c r="D35" s="85">
        <v>9</v>
      </c>
      <c r="J35" s="34"/>
      <c r="K35"/>
    </row>
    <row r="36" spans="1:11" outlineLevel="1" x14ac:dyDescent="0.2">
      <c r="A36" s="82" t="s">
        <v>135</v>
      </c>
      <c r="B36" s="83">
        <v>1.6</v>
      </c>
      <c r="C36" s="84"/>
      <c r="D36" s="85"/>
      <c r="J36" s="34"/>
      <c r="K36"/>
    </row>
    <row r="37" spans="1:11" outlineLevel="1" x14ac:dyDescent="0.2">
      <c r="A37" s="82" t="s">
        <v>136</v>
      </c>
      <c r="B37" s="83">
        <v>1.6</v>
      </c>
      <c r="C37" s="84"/>
      <c r="D37" s="85"/>
      <c r="J37" s="34"/>
      <c r="K37"/>
    </row>
    <row r="38" spans="1:11" outlineLevel="1" x14ac:dyDescent="0.2">
      <c r="A38" s="82" t="s">
        <v>137</v>
      </c>
      <c r="B38" s="83">
        <v>1.6</v>
      </c>
      <c r="C38" s="84"/>
      <c r="D38" s="85"/>
      <c r="J38" s="34"/>
      <c r="K38"/>
    </row>
    <row r="39" spans="1:11" outlineLevel="1" x14ac:dyDescent="0.2">
      <c r="A39" s="82" t="s">
        <v>138</v>
      </c>
      <c r="B39" s="83">
        <v>1.6</v>
      </c>
      <c r="C39" s="84"/>
      <c r="D39" s="85"/>
      <c r="J39" s="34"/>
      <c r="K39"/>
    </row>
    <row r="40" spans="1:11" outlineLevel="1" x14ac:dyDescent="0.2">
      <c r="A40" s="82" t="s">
        <v>139</v>
      </c>
      <c r="B40" s="83">
        <v>1.6</v>
      </c>
      <c r="C40" s="84">
        <v>1.036</v>
      </c>
      <c r="D40" s="85">
        <v>1.7</v>
      </c>
      <c r="J40" s="34"/>
      <c r="K40"/>
    </row>
    <row r="41" spans="1:11" outlineLevel="1" x14ac:dyDescent="0.2">
      <c r="A41" s="82" t="s">
        <v>140</v>
      </c>
      <c r="B41" s="83">
        <v>1.6</v>
      </c>
      <c r="C41" s="84"/>
      <c r="D41" s="85"/>
      <c r="J41" s="34"/>
      <c r="K41"/>
    </row>
    <row r="42" spans="1:11" outlineLevel="1" x14ac:dyDescent="0.2">
      <c r="A42" s="82" t="s">
        <v>141</v>
      </c>
      <c r="B42" s="83">
        <v>1</v>
      </c>
      <c r="C42" s="84">
        <v>1</v>
      </c>
      <c r="D42" s="85">
        <v>1</v>
      </c>
      <c r="J42" s="34"/>
      <c r="K42"/>
    </row>
    <row r="43" spans="1:11" outlineLevel="1" x14ac:dyDescent="0.2">
      <c r="A43" s="82" t="s">
        <v>142</v>
      </c>
      <c r="B43" s="83">
        <v>3</v>
      </c>
      <c r="C43" s="84">
        <v>1.0449999999999999</v>
      </c>
      <c r="D43" s="85">
        <v>1.5</v>
      </c>
      <c r="J43" s="34"/>
      <c r="K43"/>
    </row>
    <row r="44" spans="1:11" x14ac:dyDescent="0.2">
      <c r="J44" s="34"/>
      <c r="K44"/>
    </row>
    <row r="45" spans="1:11" x14ac:dyDescent="0.2">
      <c r="J45" s="34"/>
      <c r="K45"/>
    </row>
    <row r="46" spans="1:11" s="81" customFormat="1" ht="12" customHeight="1" x14ac:dyDescent="0.2">
      <c r="A46" s="232" t="s">
        <v>143</v>
      </c>
      <c r="B46" s="232" t="s">
        <v>104</v>
      </c>
      <c r="C46" s="232" t="s">
        <v>9</v>
      </c>
      <c r="D46" s="232" t="s">
        <v>11</v>
      </c>
      <c r="J46" s="34"/>
      <c r="K46"/>
    </row>
    <row r="47" spans="1:11" hidden="1" outlineLevel="1" x14ac:dyDescent="0.2">
      <c r="A47" s="96" t="s">
        <v>75</v>
      </c>
      <c r="B47" s="233">
        <v>1.18</v>
      </c>
      <c r="C47" s="234">
        <v>1.0449999999999999</v>
      </c>
      <c r="D47" s="233">
        <v>1</v>
      </c>
      <c r="J47" s="34"/>
      <c r="K47"/>
    </row>
    <row r="48" spans="1:11" hidden="1" outlineLevel="1" x14ac:dyDescent="0.2">
      <c r="A48" s="96" t="s">
        <v>509</v>
      </c>
      <c r="B48" s="233">
        <v>1.2</v>
      </c>
      <c r="C48" s="234">
        <v>1.0449999999999999</v>
      </c>
      <c r="D48" s="233">
        <v>50</v>
      </c>
      <c r="J48" s="34"/>
      <c r="K48"/>
    </row>
    <row r="49" spans="1:11" hidden="1" outlineLevel="1" x14ac:dyDescent="0.2">
      <c r="A49" s="233" t="s">
        <v>144</v>
      </c>
      <c r="B49" s="233">
        <v>6</v>
      </c>
      <c r="C49" s="233">
        <v>1.06</v>
      </c>
      <c r="D49" s="233">
        <v>90</v>
      </c>
      <c r="J49" s="34"/>
      <c r="K49"/>
    </row>
    <row r="50" spans="1:11" hidden="1" outlineLevel="1" x14ac:dyDescent="0.2">
      <c r="A50" s="233" t="s">
        <v>145</v>
      </c>
      <c r="B50" s="233"/>
      <c r="C50" s="233"/>
      <c r="D50" s="233"/>
      <c r="J50" s="34"/>
      <c r="K50"/>
    </row>
    <row r="51" spans="1:11" collapsed="1" x14ac:dyDescent="0.2">
      <c r="J51" s="34"/>
      <c r="K51"/>
    </row>
    <row r="52" spans="1:11" x14ac:dyDescent="0.2">
      <c r="J52" s="34"/>
      <c r="K52"/>
    </row>
    <row r="53" spans="1:11" s="81" customFormat="1" ht="12" customHeight="1" x14ac:dyDescent="0.2">
      <c r="A53" s="90" t="s">
        <v>146</v>
      </c>
      <c r="B53" s="90" t="s">
        <v>147</v>
      </c>
      <c r="C53" s="90" t="s">
        <v>148</v>
      </c>
      <c r="D53" s="90" t="s">
        <v>489</v>
      </c>
      <c r="E53" s="90" t="s">
        <v>494</v>
      </c>
      <c r="J53"/>
      <c r="K53"/>
    </row>
    <row r="54" spans="1:11" outlineLevel="1" x14ac:dyDescent="0.2">
      <c r="A54" s="91" t="s">
        <v>149</v>
      </c>
      <c r="B54" s="92"/>
      <c r="C54" s="93"/>
      <c r="D54" s="229"/>
      <c r="E54" s="229"/>
      <c r="J54" s="34"/>
      <c r="K54"/>
    </row>
    <row r="55" spans="1:11" outlineLevel="1" x14ac:dyDescent="0.2">
      <c r="A55" s="91" t="s">
        <v>150</v>
      </c>
      <c r="B55" s="92"/>
      <c r="C55" s="93"/>
      <c r="D55" s="229"/>
      <c r="E55" s="229"/>
      <c r="J55" s="34"/>
      <c r="K55"/>
    </row>
    <row r="56" spans="1:11" outlineLevel="1" x14ac:dyDescent="0.2">
      <c r="A56" s="91" t="s">
        <v>151</v>
      </c>
      <c r="B56" s="92"/>
      <c r="C56" s="93">
        <v>0.05</v>
      </c>
      <c r="D56" s="229"/>
      <c r="E56" s="229"/>
      <c r="J56" s="34"/>
      <c r="K56"/>
    </row>
    <row r="57" spans="1:11" outlineLevel="1" x14ac:dyDescent="0.2">
      <c r="A57" s="91" t="s">
        <v>152</v>
      </c>
      <c r="B57" s="92"/>
      <c r="C57" s="93"/>
      <c r="D57" s="229"/>
      <c r="E57" s="229"/>
      <c r="J57" s="34"/>
      <c r="K57"/>
    </row>
    <row r="58" spans="1:11" outlineLevel="1" x14ac:dyDescent="0.2">
      <c r="A58" s="91" t="s">
        <v>153</v>
      </c>
      <c r="B58" s="92"/>
      <c r="C58" s="93"/>
      <c r="D58" s="229"/>
      <c r="E58" s="229"/>
      <c r="J58" s="34"/>
      <c r="K58"/>
    </row>
    <row r="59" spans="1:11" outlineLevel="1" x14ac:dyDescent="0.2">
      <c r="A59" s="91" t="s">
        <v>154</v>
      </c>
      <c r="B59" s="92"/>
      <c r="C59" s="93"/>
      <c r="D59" s="229"/>
      <c r="E59" s="229"/>
      <c r="J59" s="34"/>
      <c r="K59"/>
    </row>
    <row r="60" spans="1:11" outlineLevel="1" x14ac:dyDescent="0.2">
      <c r="A60" s="91" t="s">
        <v>155</v>
      </c>
      <c r="B60" s="92"/>
      <c r="C60" s="93"/>
      <c r="D60" s="229"/>
      <c r="E60" s="229"/>
      <c r="J60" s="34"/>
      <c r="K60"/>
    </row>
    <row r="61" spans="1:11" outlineLevel="1" x14ac:dyDescent="0.2">
      <c r="A61" s="91" t="s">
        <v>156</v>
      </c>
      <c r="B61" s="92"/>
      <c r="C61" s="93"/>
      <c r="D61" s="229"/>
      <c r="E61" s="229"/>
      <c r="J61" s="34"/>
      <c r="K61"/>
    </row>
    <row r="62" spans="1:11" outlineLevel="1" x14ac:dyDescent="0.2">
      <c r="A62" s="91" t="s">
        <v>157</v>
      </c>
      <c r="B62" s="92"/>
      <c r="C62" s="93"/>
      <c r="D62" s="229"/>
      <c r="E62" s="229"/>
      <c r="J62" s="34"/>
      <c r="K62"/>
    </row>
    <row r="63" spans="1:11" outlineLevel="1" x14ac:dyDescent="0.2">
      <c r="A63" s="91" t="s">
        <v>158</v>
      </c>
      <c r="B63" s="92"/>
      <c r="C63" s="93"/>
      <c r="D63" s="229"/>
      <c r="E63" s="229"/>
      <c r="J63" s="34"/>
      <c r="K63"/>
    </row>
    <row r="64" spans="1:11" outlineLevel="1" x14ac:dyDescent="0.2">
      <c r="A64" s="91" t="s">
        <v>159</v>
      </c>
      <c r="B64" s="92"/>
      <c r="C64" s="93"/>
      <c r="D64" s="229"/>
      <c r="E64" s="229"/>
      <c r="J64" s="34"/>
      <c r="K64"/>
    </row>
    <row r="65" spans="1:11" outlineLevel="1" x14ac:dyDescent="0.2">
      <c r="A65" s="91" t="s">
        <v>160</v>
      </c>
      <c r="B65" s="92"/>
      <c r="C65" s="93"/>
      <c r="D65" s="229"/>
      <c r="E65" s="229"/>
      <c r="J65" s="34"/>
      <c r="K65"/>
    </row>
    <row r="66" spans="1:11" outlineLevel="1" x14ac:dyDescent="0.2">
      <c r="A66" s="91" t="s">
        <v>72</v>
      </c>
      <c r="B66" s="92">
        <f>8.75/16</f>
        <v>0.546875</v>
      </c>
      <c r="C66" s="93">
        <v>5.4000000000000006E-2</v>
      </c>
      <c r="D66" s="229" t="s">
        <v>492</v>
      </c>
      <c r="E66" s="229" t="s">
        <v>496</v>
      </c>
      <c r="J66" s="34"/>
      <c r="K66"/>
    </row>
    <row r="67" spans="1:11" outlineLevel="1" x14ac:dyDescent="0.2">
      <c r="A67" s="91" t="s">
        <v>70</v>
      </c>
      <c r="B67" s="92">
        <f>10.75/16</f>
        <v>0.671875</v>
      </c>
      <c r="C67" s="93">
        <v>0.08</v>
      </c>
      <c r="D67" s="229" t="s">
        <v>492</v>
      </c>
      <c r="E67" s="229" t="s">
        <v>497</v>
      </c>
      <c r="J67" s="34"/>
      <c r="K67"/>
    </row>
    <row r="68" spans="1:11" outlineLevel="1" x14ac:dyDescent="0.2">
      <c r="A68" s="91" t="s">
        <v>161</v>
      </c>
      <c r="B68" s="92"/>
      <c r="C68" s="93"/>
      <c r="D68" s="229"/>
      <c r="E68" s="229"/>
      <c r="J68" s="34"/>
      <c r="K68"/>
    </row>
    <row r="69" spans="1:11" outlineLevel="1" x14ac:dyDescent="0.2">
      <c r="A69" s="91" t="s">
        <v>162</v>
      </c>
      <c r="B69" s="92"/>
      <c r="C69" s="93">
        <v>0.115</v>
      </c>
      <c r="D69" s="229"/>
      <c r="E69" s="229"/>
      <c r="J69" s="34"/>
      <c r="K69"/>
    </row>
    <row r="70" spans="1:11" outlineLevel="1" x14ac:dyDescent="0.2">
      <c r="A70" s="91" t="s">
        <v>163</v>
      </c>
      <c r="B70" s="92"/>
      <c r="C70" s="93"/>
      <c r="D70" s="229"/>
      <c r="E70" s="229"/>
      <c r="J70" s="34"/>
      <c r="K70"/>
    </row>
    <row r="71" spans="1:11" outlineLevel="1" x14ac:dyDescent="0.2">
      <c r="A71" s="91" t="s">
        <v>164</v>
      </c>
      <c r="B71" s="92"/>
      <c r="C71" s="93">
        <v>0.14000000000000001</v>
      </c>
      <c r="D71" s="229"/>
      <c r="E71" s="229"/>
      <c r="J71" s="34"/>
      <c r="K71"/>
    </row>
    <row r="72" spans="1:11" outlineLevel="1" x14ac:dyDescent="0.2">
      <c r="A72" s="91" t="s">
        <v>165</v>
      </c>
      <c r="B72" s="92"/>
      <c r="C72" s="93"/>
      <c r="D72" s="229"/>
      <c r="E72" s="229"/>
      <c r="J72" s="34"/>
      <c r="K72"/>
    </row>
    <row r="73" spans="1:11" outlineLevel="1" x14ac:dyDescent="0.2">
      <c r="A73" s="91" t="s">
        <v>166</v>
      </c>
      <c r="B73" s="92"/>
      <c r="C73" s="93"/>
      <c r="D73" s="229"/>
      <c r="E73" s="229"/>
      <c r="J73" s="34"/>
      <c r="K73"/>
    </row>
    <row r="74" spans="1:11" outlineLevel="1" x14ac:dyDescent="0.2">
      <c r="A74" s="91" t="s">
        <v>167</v>
      </c>
      <c r="B74" s="92"/>
      <c r="C74" s="93"/>
      <c r="D74" s="229"/>
      <c r="E74" s="229"/>
      <c r="J74" s="34"/>
      <c r="K74"/>
    </row>
    <row r="75" spans="1:11" outlineLevel="1" x14ac:dyDescent="0.2">
      <c r="A75" s="91" t="s">
        <v>168</v>
      </c>
      <c r="B75" s="92"/>
      <c r="C75" s="93"/>
      <c r="D75" s="229"/>
      <c r="E75" s="229"/>
      <c r="J75" s="34"/>
      <c r="K75"/>
    </row>
    <row r="76" spans="1:11" outlineLevel="1" x14ac:dyDescent="0.2">
      <c r="A76" s="91" t="s">
        <v>169</v>
      </c>
      <c r="B76" s="92"/>
      <c r="C76" s="93"/>
      <c r="D76" s="229"/>
      <c r="E76" s="229"/>
      <c r="J76" s="34"/>
      <c r="K76"/>
    </row>
    <row r="77" spans="1:11" outlineLevel="1" x14ac:dyDescent="0.2">
      <c r="A77" s="91" t="s">
        <v>170</v>
      </c>
      <c r="B77" s="92"/>
      <c r="C77" s="93"/>
      <c r="D77" s="229"/>
      <c r="E77" s="229"/>
      <c r="J77" s="34"/>
      <c r="K77"/>
    </row>
    <row r="78" spans="1:11" outlineLevel="1" x14ac:dyDescent="0.2">
      <c r="A78" s="91" t="s">
        <v>171</v>
      </c>
      <c r="B78" s="92"/>
      <c r="C78" s="93"/>
      <c r="D78" s="229"/>
      <c r="E78" s="229"/>
      <c r="J78" s="34"/>
      <c r="K78"/>
    </row>
    <row r="79" spans="1:11" outlineLevel="1" x14ac:dyDescent="0.2">
      <c r="A79" s="91" t="s">
        <v>172</v>
      </c>
      <c r="B79" s="92"/>
      <c r="C79" s="93"/>
      <c r="D79" s="229"/>
      <c r="E79" s="229"/>
      <c r="J79" s="34"/>
      <c r="K79"/>
    </row>
    <row r="80" spans="1:11" outlineLevel="1" x14ac:dyDescent="0.2">
      <c r="A80" s="91" t="s">
        <v>173</v>
      </c>
      <c r="B80" s="92"/>
      <c r="C80" s="93"/>
      <c r="D80" s="229"/>
      <c r="E80" s="229"/>
      <c r="J80" s="34"/>
      <c r="K80"/>
    </row>
    <row r="81" spans="1:11" outlineLevel="1" x14ac:dyDescent="0.2">
      <c r="A81" s="91" t="s">
        <v>174</v>
      </c>
      <c r="B81" s="92"/>
      <c r="C81" s="93"/>
      <c r="D81" s="229"/>
      <c r="E81" s="229"/>
      <c r="J81" s="34"/>
      <c r="K81"/>
    </row>
    <row r="82" spans="1:11" outlineLevel="1" x14ac:dyDescent="0.2">
      <c r="A82" s="91" t="s">
        <v>175</v>
      </c>
      <c r="B82" s="92"/>
      <c r="C82" s="93">
        <v>4.3999999999999997E-2</v>
      </c>
      <c r="D82" s="229" t="s">
        <v>491</v>
      </c>
      <c r="E82" s="229" t="s">
        <v>495</v>
      </c>
      <c r="J82" s="34"/>
      <c r="K82"/>
    </row>
    <row r="83" spans="1:11" outlineLevel="1" x14ac:dyDescent="0.2">
      <c r="A83" s="91" t="s">
        <v>176</v>
      </c>
      <c r="B83" s="92"/>
      <c r="C83" s="93"/>
      <c r="D83" s="229"/>
      <c r="E83" s="229"/>
      <c r="J83" s="34"/>
      <c r="K83"/>
    </row>
    <row r="84" spans="1:11" outlineLevel="1" x14ac:dyDescent="0.2">
      <c r="A84" s="91" t="s">
        <v>176</v>
      </c>
      <c r="B84" s="92"/>
      <c r="C84" s="93"/>
      <c r="D84" s="229"/>
      <c r="E84" s="229"/>
      <c r="J84" s="34"/>
      <c r="K84"/>
    </row>
    <row r="85" spans="1:11" outlineLevel="1" x14ac:dyDescent="0.2">
      <c r="A85" s="91" t="s">
        <v>365</v>
      </c>
      <c r="B85" s="92"/>
      <c r="C85" s="93"/>
      <c r="D85" s="229"/>
      <c r="E85" s="229"/>
      <c r="J85" s="34"/>
      <c r="K85"/>
    </row>
    <row r="86" spans="1:11" outlineLevel="1" x14ac:dyDescent="0.2">
      <c r="A86" s="91" t="s">
        <v>177</v>
      </c>
      <c r="B86" s="92"/>
      <c r="C86" s="93"/>
      <c r="D86" s="229"/>
      <c r="E86" s="229"/>
      <c r="J86" s="34"/>
      <c r="K86"/>
    </row>
    <row r="87" spans="1:11" outlineLevel="1" x14ac:dyDescent="0.2">
      <c r="A87" s="91" t="s">
        <v>178</v>
      </c>
      <c r="B87" s="92"/>
      <c r="C87" s="93"/>
      <c r="D87" s="229"/>
      <c r="E87" s="229"/>
      <c r="J87" s="34"/>
      <c r="K87"/>
    </row>
    <row r="88" spans="1:11" outlineLevel="1" x14ac:dyDescent="0.2">
      <c r="A88" s="91" t="s">
        <v>179</v>
      </c>
      <c r="B88" s="92"/>
      <c r="C88" s="93"/>
      <c r="D88" s="229"/>
      <c r="E88" s="229"/>
      <c r="J88" s="34"/>
      <c r="K88"/>
    </row>
    <row r="89" spans="1:11" outlineLevel="1" x14ac:dyDescent="0.2">
      <c r="A89" s="91" t="s">
        <v>180</v>
      </c>
      <c r="B89" s="92"/>
      <c r="C89" s="93"/>
      <c r="D89" s="229"/>
      <c r="E89" s="229"/>
      <c r="J89" s="34"/>
      <c r="K89"/>
    </row>
    <row r="90" spans="1:11" outlineLevel="1" x14ac:dyDescent="0.2">
      <c r="A90" s="91" t="s">
        <v>181</v>
      </c>
      <c r="B90" s="92"/>
      <c r="C90" s="93"/>
      <c r="D90" s="229"/>
      <c r="E90" s="229"/>
      <c r="J90" s="34"/>
      <c r="K90"/>
    </row>
    <row r="91" spans="1:11" outlineLevel="1" x14ac:dyDescent="0.2">
      <c r="A91" s="91" t="s">
        <v>182</v>
      </c>
      <c r="B91" s="92"/>
      <c r="C91" s="93"/>
      <c r="D91" s="229"/>
      <c r="E91" s="229"/>
      <c r="J91" s="34"/>
      <c r="K91"/>
    </row>
    <row r="92" spans="1:11" outlineLevel="1" x14ac:dyDescent="0.2">
      <c r="A92" s="91" t="s">
        <v>183</v>
      </c>
      <c r="B92" s="92"/>
      <c r="C92" s="93"/>
      <c r="D92" s="229"/>
      <c r="E92" s="229"/>
      <c r="J92" s="34"/>
      <c r="K92"/>
    </row>
    <row r="93" spans="1:11" outlineLevel="1" x14ac:dyDescent="0.2">
      <c r="A93" s="91" t="s">
        <v>184</v>
      </c>
      <c r="B93" s="92"/>
      <c r="C93" s="93"/>
      <c r="D93" s="229"/>
      <c r="E93" s="229"/>
      <c r="J93" s="34"/>
      <c r="K93"/>
    </row>
    <row r="94" spans="1:11" outlineLevel="1" x14ac:dyDescent="0.2">
      <c r="A94" s="91" t="s">
        <v>185</v>
      </c>
      <c r="B94" s="92"/>
      <c r="C94" s="93"/>
      <c r="D94" s="229"/>
      <c r="E94" s="229"/>
      <c r="J94" s="34"/>
      <c r="K94"/>
    </row>
    <row r="95" spans="1:11" outlineLevel="1" x14ac:dyDescent="0.2">
      <c r="A95" s="91" t="s">
        <v>186</v>
      </c>
      <c r="B95" s="92"/>
      <c r="C95" s="93"/>
      <c r="D95" s="229"/>
      <c r="E95" s="229"/>
      <c r="J95" s="34"/>
      <c r="K95"/>
    </row>
    <row r="96" spans="1:11" outlineLevel="1" x14ac:dyDescent="0.2">
      <c r="A96" s="91" t="s">
        <v>187</v>
      </c>
      <c r="B96" s="92"/>
      <c r="C96" s="93"/>
      <c r="D96" s="229"/>
      <c r="E96" s="229"/>
      <c r="J96" s="34"/>
      <c r="K96"/>
    </row>
    <row r="97" spans="1:11" outlineLevel="1" x14ac:dyDescent="0.2">
      <c r="A97" s="91" t="s">
        <v>188</v>
      </c>
      <c r="B97" s="92"/>
      <c r="C97" s="93"/>
      <c r="D97" s="229"/>
      <c r="E97" s="229"/>
      <c r="J97" s="34"/>
      <c r="K97"/>
    </row>
    <row r="98" spans="1:11" outlineLevel="1" x14ac:dyDescent="0.2">
      <c r="A98" s="91" t="s">
        <v>189</v>
      </c>
      <c r="B98" s="92"/>
      <c r="C98" s="93"/>
      <c r="D98" s="229"/>
      <c r="E98" s="229"/>
      <c r="J98" s="34"/>
      <c r="K98"/>
    </row>
    <row r="99" spans="1:11" outlineLevel="1" x14ac:dyDescent="0.2">
      <c r="A99" s="91" t="s">
        <v>190</v>
      </c>
      <c r="B99" s="92"/>
      <c r="C99" s="93"/>
      <c r="D99" s="229"/>
      <c r="E99" s="229"/>
      <c r="J99" s="34"/>
      <c r="K99"/>
    </row>
    <row r="100" spans="1:11" outlineLevel="1" x14ac:dyDescent="0.2">
      <c r="A100" s="91" t="s">
        <v>191</v>
      </c>
      <c r="B100" s="92"/>
      <c r="C100" s="93"/>
      <c r="D100" s="229"/>
      <c r="E100" s="229"/>
      <c r="J100" s="34"/>
      <c r="K100"/>
    </row>
    <row r="101" spans="1:11" outlineLevel="1" x14ac:dyDescent="0.2">
      <c r="A101" s="91" t="s">
        <v>192</v>
      </c>
      <c r="B101" s="92"/>
      <c r="C101" s="93"/>
      <c r="D101" s="229"/>
      <c r="E101" s="229"/>
      <c r="J101" s="34"/>
      <c r="K101"/>
    </row>
    <row r="102" spans="1:11" outlineLevel="1" x14ac:dyDescent="0.2">
      <c r="A102" s="91" t="s">
        <v>193</v>
      </c>
      <c r="B102" s="92"/>
      <c r="C102" s="93"/>
      <c r="D102" s="229"/>
      <c r="E102" s="229"/>
      <c r="J102" s="34"/>
      <c r="K102"/>
    </row>
    <row r="103" spans="1:11" outlineLevel="1" x14ac:dyDescent="0.2">
      <c r="A103" s="91" t="s">
        <v>194</v>
      </c>
      <c r="B103" s="92"/>
      <c r="C103" s="93"/>
      <c r="D103" s="229"/>
      <c r="E103" s="229"/>
      <c r="J103" s="34"/>
      <c r="K103"/>
    </row>
    <row r="104" spans="1:11" outlineLevel="1" x14ac:dyDescent="0.2">
      <c r="A104" s="91" t="s">
        <v>195</v>
      </c>
      <c r="B104" s="92"/>
      <c r="C104" s="93"/>
      <c r="D104" s="229"/>
      <c r="E104" s="229"/>
      <c r="J104" s="34"/>
      <c r="K104"/>
    </row>
    <row r="105" spans="1:11" outlineLevel="1" x14ac:dyDescent="0.2">
      <c r="A105" s="91" t="s">
        <v>196</v>
      </c>
      <c r="B105" s="92"/>
      <c r="C105" s="93"/>
      <c r="D105" s="229"/>
      <c r="E105" s="229"/>
      <c r="J105" s="34"/>
      <c r="K105"/>
    </row>
    <row r="106" spans="1:11" outlineLevel="1" x14ac:dyDescent="0.2">
      <c r="A106" s="91" t="s">
        <v>197</v>
      </c>
      <c r="B106" s="92"/>
      <c r="C106" s="93"/>
      <c r="D106" s="229"/>
      <c r="E106" s="229"/>
      <c r="J106" s="34"/>
      <c r="K106"/>
    </row>
    <row r="107" spans="1:11" outlineLevel="1" x14ac:dyDescent="0.2">
      <c r="A107" s="91" t="s">
        <v>198</v>
      </c>
      <c r="B107" s="92"/>
      <c r="C107" s="93"/>
      <c r="D107" s="229"/>
      <c r="E107" s="229"/>
      <c r="J107" s="34"/>
      <c r="K107"/>
    </row>
    <row r="108" spans="1:11" outlineLevel="1" x14ac:dyDescent="0.2">
      <c r="A108" s="91" t="s">
        <v>199</v>
      </c>
      <c r="B108" s="92"/>
      <c r="C108" s="93"/>
      <c r="D108" s="229"/>
      <c r="E108" s="229"/>
      <c r="J108" s="34"/>
      <c r="K108"/>
    </row>
    <row r="109" spans="1:11" outlineLevel="1" x14ac:dyDescent="0.2">
      <c r="A109" s="91" t="s">
        <v>200</v>
      </c>
      <c r="B109" s="92"/>
      <c r="C109" s="93"/>
      <c r="D109" s="229"/>
      <c r="E109" s="229"/>
      <c r="J109" s="34"/>
      <c r="K109"/>
    </row>
    <row r="110" spans="1:11" outlineLevel="1" x14ac:dyDescent="0.2">
      <c r="A110" s="91" t="s">
        <v>201</v>
      </c>
      <c r="B110" s="92"/>
      <c r="C110" s="93"/>
      <c r="D110" s="229"/>
      <c r="E110" s="229"/>
      <c r="J110" s="34"/>
      <c r="K110"/>
    </row>
    <row r="111" spans="1:11" outlineLevel="1" x14ac:dyDescent="0.2">
      <c r="A111" s="91" t="s">
        <v>202</v>
      </c>
      <c r="B111" s="92"/>
      <c r="C111" s="93"/>
      <c r="D111" s="229"/>
      <c r="E111" s="229"/>
      <c r="J111" s="34"/>
      <c r="K111"/>
    </row>
    <row r="112" spans="1:11" outlineLevel="1" x14ac:dyDescent="0.2">
      <c r="A112" s="94" t="s">
        <v>203</v>
      </c>
      <c r="B112" s="92"/>
      <c r="C112" s="93"/>
      <c r="D112" s="229"/>
      <c r="E112" s="229"/>
      <c r="J112" s="34"/>
      <c r="K112"/>
    </row>
    <row r="113" spans="1:11" outlineLevel="1" x14ac:dyDescent="0.2">
      <c r="A113" s="94" t="s">
        <v>204</v>
      </c>
      <c r="B113" s="92"/>
      <c r="C113" s="93"/>
      <c r="D113" s="229"/>
      <c r="E113" s="229"/>
      <c r="J113" s="34"/>
      <c r="K113"/>
    </row>
    <row r="114" spans="1:11" outlineLevel="1" x14ac:dyDescent="0.2">
      <c r="A114" s="94" t="s">
        <v>205</v>
      </c>
      <c r="B114" s="92"/>
      <c r="C114" s="93"/>
      <c r="D114" s="229"/>
      <c r="E114" s="229"/>
      <c r="J114" s="34"/>
      <c r="K114"/>
    </row>
    <row r="115" spans="1:11" outlineLevel="1" x14ac:dyDescent="0.2">
      <c r="A115" s="94" t="s">
        <v>206</v>
      </c>
      <c r="B115" s="92"/>
      <c r="C115" s="93"/>
      <c r="D115" s="229"/>
      <c r="E115" s="229"/>
      <c r="J115" s="34"/>
      <c r="K115"/>
    </row>
    <row r="116" spans="1:11" outlineLevel="1" x14ac:dyDescent="0.2">
      <c r="A116" s="91" t="s">
        <v>207</v>
      </c>
      <c r="B116" s="92"/>
      <c r="C116" s="93"/>
      <c r="D116" s="229"/>
      <c r="E116" s="229"/>
      <c r="J116" s="34"/>
      <c r="K116"/>
    </row>
    <row r="117" spans="1:11" outlineLevel="1" x14ac:dyDescent="0.2">
      <c r="A117" s="91" t="s">
        <v>208</v>
      </c>
      <c r="B117" s="92"/>
      <c r="C117" s="93"/>
      <c r="D117" s="229"/>
      <c r="E117" s="229"/>
      <c r="J117" s="34"/>
      <c r="K117"/>
    </row>
    <row r="118" spans="1:11" outlineLevel="1" x14ac:dyDescent="0.2">
      <c r="A118" s="91" t="s">
        <v>209</v>
      </c>
      <c r="B118" s="92"/>
      <c r="C118" s="93"/>
      <c r="D118" s="229"/>
      <c r="E118" s="229"/>
      <c r="J118" s="34"/>
      <c r="K118"/>
    </row>
    <row r="119" spans="1:11" outlineLevel="1" x14ac:dyDescent="0.2">
      <c r="A119" s="91" t="s">
        <v>210</v>
      </c>
      <c r="B119" s="92"/>
      <c r="C119" s="93"/>
      <c r="D119" s="229"/>
      <c r="E119" s="229"/>
      <c r="J119" s="34"/>
      <c r="K119"/>
    </row>
    <row r="120" spans="1:11" outlineLevel="1" x14ac:dyDescent="0.2">
      <c r="A120" s="91" t="s">
        <v>71</v>
      </c>
      <c r="B120" s="92">
        <f>8.75/16</f>
        <v>0.546875</v>
      </c>
      <c r="C120" s="93">
        <v>5.800000000000001E-2</v>
      </c>
      <c r="D120" s="229"/>
      <c r="E120" s="229"/>
      <c r="J120" s="34"/>
      <c r="K120"/>
    </row>
    <row r="121" spans="1:11" outlineLevel="1" x14ac:dyDescent="0.2">
      <c r="A121" s="91" t="s">
        <v>211</v>
      </c>
      <c r="B121" s="92"/>
      <c r="C121" s="93"/>
      <c r="D121" s="229"/>
      <c r="E121" s="229"/>
      <c r="J121" s="34"/>
      <c r="K121"/>
    </row>
    <row r="122" spans="1:11" outlineLevel="1" x14ac:dyDescent="0.2">
      <c r="A122" s="91" t="s">
        <v>212</v>
      </c>
      <c r="B122" s="92"/>
      <c r="C122" s="93"/>
      <c r="D122" s="229"/>
      <c r="E122" s="229"/>
      <c r="J122" s="34"/>
      <c r="K122"/>
    </row>
    <row r="123" spans="1:11" outlineLevel="1" x14ac:dyDescent="0.2">
      <c r="A123" s="91" t="s">
        <v>213</v>
      </c>
      <c r="B123" s="92"/>
      <c r="C123" s="93"/>
      <c r="D123" s="229"/>
      <c r="E123" s="229"/>
      <c r="J123" s="34"/>
      <c r="K123"/>
    </row>
    <row r="124" spans="1:11" ht="14.25" outlineLevel="1" x14ac:dyDescent="0.25">
      <c r="A124" s="95" t="s">
        <v>214</v>
      </c>
      <c r="B124" s="92"/>
      <c r="C124" s="93"/>
      <c r="D124" s="229"/>
      <c r="E124" s="229"/>
      <c r="J124" s="34"/>
      <c r="K124"/>
    </row>
    <row r="125" spans="1:11" outlineLevel="1" x14ac:dyDescent="0.2">
      <c r="A125" s="91" t="s">
        <v>215</v>
      </c>
      <c r="B125" s="92"/>
      <c r="C125" s="93">
        <v>0.13</v>
      </c>
      <c r="D125" s="229"/>
      <c r="E125" s="229"/>
      <c r="J125" s="34"/>
      <c r="K125"/>
    </row>
    <row r="126" spans="1:11" outlineLevel="1" x14ac:dyDescent="0.2">
      <c r="A126" s="91" t="s">
        <v>216</v>
      </c>
      <c r="B126" s="92"/>
      <c r="C126" s="93"/>
      <c r="D126" s="229"/>
      <c r="E126" s="229"/>
      <c r="J126" s="34"/>
      <c r="K126"/>
    </row>
    <row r="127" spans="1:11" outlineLevel="1" x14ac:dyDescent="0.2">
      <c r="A127" s="91" t="s">
        <v>217</v>
      </c>
      <c r="B127" s="92"/>
      <c r="C127" s="93"/>
      <c r="D127" s="229"/>
      <c r="E127" s="229"/>
      <c r="J127" s="34"/>
      <c r="K127"/>
    </row>
    <row r="128" spans="1:11" outlineLevel="1" x14ac:dyDescent="0.2">
      <c r="A128" s="91" t="s">
        <v>218</v>
      </c>
      <c r="B128" s="92"/>
      <c r="C128" s="93"/>
      <c r="D128" s="229"/>
      <c r="E128" s="229"/>
      <c r="J128" s="34"/>
      <c r="K128"/>
    </row>
    <row r="129" spans="1:11" outlineLevel="1" x14ac:dyDescent="0.2">
      <c r="A129" s="91" t="s">
        <v>219</v>
      </c>
      <c r="B129" s="92"/>
      <c r="C129" s="93"/>
      <c r="D129" s="229"/>
      <c r="E129" s="229"/>
      <c r="J129" s="34"/>
      <c r="K129"/>
    </row>
    <row r="130" spans="1:11" outlineLevel="1" x14ac:dyDescent="0.2">
      <c r="A130" s="91" t="s">
        <v>220</v>
      </c>
      <c r="B130" s="92"/>
      <c r="C130" s="93"/>
      <c r="D130" s="229"/>
      <c r="E130" s="229"/>
      <c r="J130" s="34"/>
      <c r="K130"/>
    </row>
    <row r="131" spans="1:11" outlineLevel="1" x14ac:dyDescent="0.2">
      <c r="A131" s="91" t="s">
        <v>221</v>
      </c>
      <c r="B131" s="92"/>
      <c r="C131" s="93"/>
      <c r="D131" s="229"/>
      <c r="E131" s="229"/>
      <c r="J131" s="34"/>
      <c r="K131"/>
    </row>
    <row r="132" spans="1:11" outlineLevel="1" x14ac:dyDescent="0.2">
      <c r="A132" s="91" t="s">
        <v>222</v>
      </c>
      <c r="B132" s="92"/>
      <c r="C132" s="93"/>
      <c r="D132" s="229"/>
      <c r="E132" s="229"/>
      <c r="J132" s="34"/>
      <c r="K132"/>
    </row>
    <row r="133" spans="1:11" outlineLevel="1" x14ac:dyDescent="0.2">
      <c r="A133" s="91" t="s">
        <v>223</v>
      </c>
      <c r="B133" s="92"/>
      <c r="C133" s="93"/>
      <c r="D133" s="229"/>
      <c r="E133" s="229"/>
      <c r="J133" s="34"/>
      <c r="K133"/>
    </row>
    <row r="134" spans="1:11" outlineLevel="1" x14ac:dyDescent="0.2">
      <c r="A134" s="91" t="s">
        <v>224</v>
      </c>
      <c r="B134" s="92"/>
      <c r="C134" s="93">
        <v>3.4000000000000002E-2</v>
      </c>
      <c r="D134" s="229"/>
      <c r="E134" s="229"/>
      <c r="J134" s="34"/>
      <c r="K134"/>
    </row>
    <row r="135" spans="1:11" outlineLevel="1" x14ac:dyDescent="0.2">
      <c r="A135" s="91" t="s">
        <v>225</v>
      </c>
      <c r="B135" s="92"/>
      <c r="C135" s="93"/>
      <c r="D135" s="229"/>
      <c r="E135" s="229"/>
      <c r="J135" s="34"/>
      <c r="K135"/>
    </row>
    <row r="136" spans="1:11" outlineLevel="1" x14ac:dyDescent="0.2">
      <c r="A136" s="91" t="s">
        <v>226</v>
      </c>
      <c r="B136" s="92"/>
      <c r="C136" s="93"/>
      <c r="D136" s="229"/>
      <c r="E136" s="229"/>
      <c r="J136" s="34"/>
      <c r="K136"/>
    </row>
    <row r="137" spans="1:11" outlineLevel="1" x14ac:dyDescent="0.2">
      <c r="A137" s="91" t="s">
        <v>227</v>
      </c>
      <c r="B137" s="92"/>
      <c r="C137" s="93"/>
      <c r="D137" s="229"/>
      <c r="E137" s="229"/>
      <c r="J137" s="34"/>
      <c r="K137"/>
    </row>
    <row r="138" spans="1:11" outlineLevel="1" x14ac:dyDescent="0.2">
      <c r="A138" s="91" t="s">
        <v>228</v>
      </c>
      <c r="B138" s="92"/>
      <c r="C138" s="93"/>
      <c r="D138" s="229"/>
      <c r="E138" s="229"/>
      <c r="J138" s="34"/>
      <c r="K138"/>
    </row>
    <row r="139" spans="1:11" outlineLevel="1" x14ac:dyDescent="0.2">
      <c r="A139" s="91" t="s">
        <v>229</v>
      </c>
      <c r="B139" s="92"/>
      <c r="C139" s="93"/>
      <c r="D139" s="229"/>
      <c r="E139" s="229"/>
      <c r="J139" s="34"/>
      <c r="K139"/>
    </row>
    <row r="140" spans="1:11" outlineLevel="1" x14ac:dyDescent="0.2">
      <c r="A140" s="91" t="s">
        <v>230</v>
      </c>
      <c r="B140" s="92"/>
      <c r="C140" s="93"/>
      <c r="D140" s="229"/>
      <c r="E140" s="229"/>
      <c r="J140" s="34"/>
      <c r="K140"/>
    </row>
    <row r="141" spans="1:11" outlineLevel="1" x14ac:dyDescent="0.2">
      <c r="A141" s="91" t="s">
        <v>231</v>
      </c>
      <c r="B141" s="92"/>
      <c r="C141" s="93"/>
      <c r="D141" s="229"/>
      <c r="E141" s="229"/>
      <c r="J141" s="34"/>
      <c r="K141"/>
    </row>
    <row r="142" spans="1:11" outlineLevel="1" x14ac:dyDescent="0.2">
      <c r="A142" s="91" t="s">
        <v>232</v>
      </c>
      <c r="B142" s="92"/>
      <c r="C142" s="93"/>
      <c r="D142" s="229"/>
      <c r="E142" s="229"/>
      <c r="J142" s="34"/>
      <c r="K142"/>
    </row>
    <row r="143" spans="1:11" outlineLevel="1" x14ac:dyDescent="0.2">
      <c r="A143" s="91" t="s">
        <v>233</v>
      </c>
      <c r="B143" s="92"/>
      <c r="C143" s="93"/>
      <c r="D143" s="229"/>
      <c r="E143" s="229"/>
      <c r="J143" s="34"/>
      <c r="K143"/>
    </row>
    <row r="144" spans="1:11" outlineLevel="1" x14ac:dyDescent="0.2">
      <c r="A144" s="91" t="s">
        <v>234</v>
      </c>
      <c r="B144" s="92"/>
      <c r="C144" s="93"/>
      <c r="D144" s="229"/>
      <c r="E144" s="229"/>
      <c r="J144" s="34"/>
      <c r="K144"/>
    </row>
    <row r="145" spans="1:11" ht="14.25" outlineLevel="1" x14ac:dyDescent="0.25">
      <c r="A145" s="95" t="s">
        <v>235</v>
      </c>
      <c r="B145" s="92"/>
      <c r="C145" s="93"/>
      <c r="D145" s="229"/>
      <c r="E145" s="229"/>
      <c r="J145" s="34"/>
      <c r="K145"/>
    </row>
    <row r="146" spans="1:11" outlineLevel="1" x14ac:dyDescent="0.2">
      <c r="A146" s="91" t="s">
        <v>236</v>
      </c>
      <c r="B146" s="92"/>
      <c r="C146" s="93"/>
      <c r="D146" s="229"/>
      <c r="E146" s="229"/>
      <c r="J146" s="34"/>
      <c r="K146"/>
    </row>
    <row r="147" spans="1:11" outlineLevel="1" x14ac:dyDescent="0.2">
      <c r="A147" s="91" t="s">
        <v>237</v>
      </c>
      <c r="B147" s="92"/>
      <c r="C147" s="93"/>
      <c r="D147" s="229"/>
      <c r="E147" s="229"/>
      <c r="J147" s="34"/>
      <c r="K147"/>
    </row>
    <row r="148" spans="1:11" outlineLevel="1" x14ac:dyDescent="0.2">
      <c r="A148" s="91" t="s">
        <v>238</v>
      </c>
      <c r="B148" s="92"/>
      <c r="C148" s="93"/>
      <c r="D148" s="229"/>
      <c r="E148" s="229"/>
      <c r="J148" s="34"/>
      <c r="K148"/>
    </row>
    <row r="149" spans="1:11" outlineLevel="1" x14ac:dyDescent="0.2">
      <c r="A149" s="91" t="s">
        <v>239</v>
      </c>
      <c r="B149" s="92"/>
      <c r="C149" s="93"/>
      <c r="D149" s="229"/>
      <c r="E149" s="229"/>
      <c r="J149" s="34"/>
      <c r="K149"/>
    </row>
    <row r="150" spans="1:11" outlineLevel="1" x14ac:dyDescent="0.2">
      <c r="A150" s="91" t="s">
        <v>240</v>
      </c>
      <c r="B150" s="92"/>
      <c r="C150" s="93"/>
      <c r="D150" s="229"/>
      <c r="E150" s="229"/>
      <c r="J150" s="34"/>
      <c r="K150"/>
    </row>
    <row r="151" spans="1:11" outlineLevel="1" x14ac:dyDescent="0.2">
      <c r="A151" s="228" t="s">
        <v>484</v>
      </c>
      <c r="B151" s="92"/>
      <c r="C151" s="93"/>
      <c r="D151" s="229"/>
      <c r="E151" s="229"/>
      <c r="J151" s="34"/>
      <c r="K151"/>
    </row>
    <row r="152" spans="1:11" outlineLevel="1" x14ac:dyDescent="0.2">
      <c r="A152" s="227" t="s">
        <v>498</v>
      </c>
      <c r="B152" s="92"/>
      <c r="C152" s="93"/>
      <c r="D152" s="229"/>
      <c r="E152" s="229"/>
      <c r="J152" s="34"/>
      <c r="K152"/>
    </row>
    <row r="153" spans="1:11" outlineLevel="1" x14ac:dyDescent="0.2">
      <c r="A153" s="227" t="s">
        <v>485</v>
      </c>
      <c r="B153" s="92"/>
      <c r="C153" s="93"/>
      <c r="D153" s="229"/>
      <c r="E153" s="229"/>
      <c r="J153" s="34"/>
      <c r="K153"/>
    </row>
    <row r="154" spans="1:11" outlineLevel="1" x14ac:dyDescent="0.2">
      <c r="A154" s="34" t="s">
        <v>488</v>
      </c>
      <c r="B154" s="92"/>
      <c r="C154" s="93"/>
      <c r="D154" s="229"/>
      <c r="E154" s="229"/>
      <c r="J154" s="34"/>
      <c r="K154"/>
    </row>
    <row r="155" spans="1:11" outlineLevel="1" x14ac:dyDescent="0.2">
      <c r="A155" s="227" t="s">
        <v>487</v>
      </c>
      <c r="B155" s="92"/>
      <c r="C155" s="93"/>
      <c r="D155" s="229"/>
      <c r="E155" s="229"/>
      <c r="J155" s="34"/>
      <c r="K155"/>
    </row>
    <row r="156" spans="1:11" outlineLevel="1" x14ac:dyDescent="0.2">
      <c r="A156" s="227" t="s">
        <v>486</v>
      </c>
      <c r="B156" s="92"/>
      <c r="C156" s="93"/>
      <c r="D156" s="229"/>
      <c r="E156" s="229"/>
      <c r="J156" s="34"/>
      <c r="K156"/>
    </row>
    <row r="157" spans="1:11" outlineLevel="1" x14ac:dyDescent="0.2">
      <c r="A157" s="91"/>
      <c r="B157" s="92"/>
      <c r="C157" s="93"/>
      <c r="D157" s="229"/>
      <c r="E157" s="229"/>
      <c r="J157" s="34"/>
      <c r="K157"/>
    </row>
    <row r="158" spans="1:11" outlineLevel="1" x14ac:dyDescent="0.2">
      <c r="A158" s="91"/>
      <c r="B158" s="92"/>
      <c r="C158" s="93"/>
      <c r="D158" s="229"/>
      <c r="E158" s="229"/>
      <c r="J158" s="34"/>
      <c r="K158"/>
    </row>
    <row r="159" spans="1:11" outlineLevel="1" x14ac:dyDescent="0.2">
      <c r="A159" s="91"/>
      <c r="B159" s="92"/>
      <c r="C159" s="93"/>
      <c r="D159" s="229"/>
      <c r="E159" s="229"/>
      <c r="J159" s="34"/>
      <c r="K159"/>
    </row>
    <row r="160" spans="1:11" outlineLevel="1" x14ac:dyDescent="0.2">
      <c r="A160" s="96"/>
      <c r="B160" s="97"/>
      <c r="C160" s="97"/>
      <c r="D160" s="229"/>
      <c r="E160" s="229"/>
      <c r="J160"/>
      <c r="K160"/>
    </row>
    <row r="161" spans="1:11" x14ac:dyDescent="0.2">
      <c r="J161"/>
      <c r="K161"/>
    </row>
    <row r="162" spans="1:11" x14ac:dyDescent="0.2">
      <c r="J162"/>
    </row>
    <row r="163" spans="1:11" s="81" customFormat="1" ht="25.5" x14ac:dyDescent="0.2">
      <c r="A163" s="80" t="s">
        <v>241</v>
      </c>
      <c r="B163" s="80" t="s">
        <v>242</v>
      </c>
      <c r="C163" s="80" t="s">
        <v>243</v>
      </c>
      <c r="D163" s="80" t="s">
        <v>244</v>
      </c>
      <c r="E163" s="80" t="s">
        <v>245</v>
      </c>
      <c r="F163" s="80" t="s">
        <v>246</v>
      </c>
      <c r="H163"/>
      <c r="I163"/>
      <c r="J163"/>
    </row>
    <row r="164" spans="1:11" hidden="1" outlineLevel="1" x14ac:dyDescent="0.2">
      <c r="A164" s="82" t="s">
        <v>247</v>
      </c>
      <c r="B164" s="82" t="s">
        <v>248</v>
      </c>
      <c r="C164" s="87" t="s">
        <v>249</v>
      </c>
      <c r="D164" s="87" t="s">
        <v>250</v>
      </c>
      <c r="E164" t="s">
        <v>251</v>
      </c>
      <c r="F164" s="83">
        <v>5.65</v>
      </c>
      <c r="H164"/>
      <c r="I164"/>
      <c r="J164"/>
    </row>
    <row r="165" spans="1:11" hidden="1" outlineLevel="1" x14ac:dyDescent="0.2">
      <c r="A165" s="82" t="s">
        <v>252</v>
      </c>
      <c r="B165" s="82" t="s">
        <v>253</v>
      </c>
      <c r="C165" s="87" t="s">
        <v>249</v>
      </c>
      <c r="D165" s="87" t="s">
        <v>250</v>
      </c>
      <c r="E165" t="s">
        <v>251</v>
      </c>
      <c r="F165" s="83">
        <v>5.65</v>
      </c>
      <c r="H165"/>
      <c r="I165"/>
      <c r="J165"/>
    </row>
    <row r="166" spans="1:11" hidden="1" outlineLevel="1" x14ac:dyDescent="0.2">
      <c r="A166" s="82" t="s">
        <v>254</v>
      </c>
      <c r="B166" s="82" t="s">
        <v>255</v>
      </c>
      <c r="C166" s="87" t="s">
        <v>249</v>
      </c>
      <c r="D166" s="87" t="s">
        <v>250</v>
      </c>
      <c r="E166" t="s">
        <v>251</v>
      </c>
      <c r="F166" s="83">
        <v>5.65</v>
      </c>
      <c r="H166"/>
      <c r="I166"/>
      <c r="J166"/>
    </row>
    <row r="167" spans="1:11" hidden="1" outlineLevel="1" x14ac:dyDescent="0.2">
      <c r="A167" s="82" t="s">
        <v>256</v>
      </c>
      <c r="B167" s="82" t="s">
        <v>257</v>
      </c>
      <c r="C167" s="87" t="s">
        <v>249</v>
      </c>
      <c r="D167" s="87" t="s">
        <v>250</v>
      </c>
      <c r="E167" t="s">
        <v>251</v>
      </c>
      <c r="F167" s="83">
        <v>5.65</v>
      </c>
      <c r="H167"/>
      <c r="I167"/>
      <c r="J167"/>
    </row>
    <row r="168" spans="1:11" hidden="1" outlineLevel="1" x14ac:dyDescent="0.2">
      <c r="A168" s="82" t="s">
        <v>258</v>
      </c>
      <c r="B168" s="82" t="s">
        <v>259</v>
      </c>
      <c r="C168" s="87" t="s">
        <v>249</v>
      </c>
      <c r="D168" s="87" t="s">
        <v>250</v>
      </c>
      <c r="E168" t="s">
        <v>251</v>
      </c>
      <c r="F168" s="83">
        <v>5.65</v>
      </c>
      <c r="H168"/>
      <c r="I168"/>
      <c r="J168"/>
    </row>
    <row r="169" spans="1:11" hidden="1" outlineLevel="1" x14ac:dyDescent="0.2">
      <c r="A169" s="82" t="s">
        <v>260</v>
      </c>
      <c r="B169" s="82" t="s">
        <v>261</v>
      </c>
      <c r="C169" s="87" t="s">
        <v>249</v>
      </c>
      <c r="D169" s="87" t="s">
        <v>250</v>
      </c>
      <c r="E169" t="s">
        <v>251</v>
      </c>
      <c r="F169" s="83">
        <v>5.65</v>
      </c>
      <c r="H169"/>
      <c r="I169"/>
      <c r="J169"/>
    </row>
    <row r="170" spans="1:11" hidden="1" outlineLevel="1" x14ac:dyDescent="0.2">
      <c r="A170" s="82" t="s">
        <v>262</v>
      </c>
      <c r="B170" s="82" t="s">
        <v>263</v>
      </c>
      <c r="C170" s="87" t="s">
        <v>249</v>
      </c>
      <c r="D170" s="87" t="s">
        <v>250</v>
      </c>
      <c r="E170" t="s">
        <v>251</v>
      </c>
      <c r="F170" s="83">
        <v>5.65</v>
      </c>
      <c r="H170"/>
      <c r="I170"/>
      <c r="J170"/>
    </row>
    <row r="171" spans="1:11" hidden="1" outlineLevel="1" x14ac:dyDescent="0.2">
      <c r="A171" s="82" t="s">
        <v>264</v>
      </c>
      <c r="B171" s="82" t="s">
        <v>265</v>
      </c>
      <c r="C171" s="87" t="s">
        <v>249</v>
      </c>
      <c r="D171" s="87" t="s">
        <v>250</v>
      </c>
      <c r="E171" t="s">
        <v>251</v>
      </c>
      <c r="F171" s="83">
        <v>5.65</v>
      </c>
      <c r="H171"/>
      <c r="I171"/>
      <c r="J171"/>
    </row>
    <row r="172" spans="1:11" hidden="1" outlineLevel="1" x14ac:dyDescent="0.2">
      <c r="A172" s="82" t="s">
        <v>266</v>
      </c>
      <c r="B172" s="82" t="s">
        <v>267</v>
      </c>
      <c r="C172" s="87" t="s">
        <v>249</v>
      </c>
      <c r="D172" s="87" t="s">
        <v>250</v>
      </c>
      <c r="E172" t="s">
        <v>251</v>
      </c>
      <c r="F172" s="83">
        <v>5.65</v>
      </c>
      <c r="H172"/>
      <c r="I172"/>
      <c r="J172"/>
    </row>
    <row r="173" spans="1:11" hidden="1" outlineLevel="1" x14ac:dyDescent="0.2">
      <c r="A173" s="82" t="s">
        <v>268</v>
      </c>
      <c r="B173" s="82" t="s">
        <v>269</v>
      </c>
      <c r="C173" s="87" t="s">
        <v>249</v>
      </c>
      <c r="D173" s="87" t="s">
        <v>250</v>
      </c>
      <c r="E173" t="s">
        <v>251</v>
      </c>
      <c r="F173" s="83">
        <v>5.65</v>
      </c>
      <c r="H173"/>
      <c r="I173"/>
      <c r="J173"/>
    </row>
    <row r="174" spans="1:11" hidden="1" outlineLevel="1" x14ac:dyDescent="0.2">
      <c r="A174" s="82" t="s">
        <v>270</v>
      </c>
      <c r="B174" s="82" t="s">
        <v>271</v>
      </c>
      <c r="C174" s="87" t="s">
        <v>249</v>
      </c>
      <c r="D174" s="87" t="s">
        <v>250</v>
      </c>
      <c r="E174" t="s">
        <v>251</v>
      </c>
      <c r="F174" s="83">
        <v>5.65</v>
      </c>
      <c r="H174"/>
      <c r="I174"/>
      <c r="J174"/>
    </row>
    <row r="175" spans="1:11" hidden="1" outlineLevel="1" x14ac:dyDescent="0.2">
      <c r="A175" s="82" t="s">
        <v>272</v>
      </c>
      <c r="B175" s="82" t="s">
        <v>273</v>
      </c>
      <c r="C175" s="87" t="s">
        <v>249</v>
      </c>
      <c r="D175" s="87" t="s">
        <v>250</v>
      </c>
      <c r="E175" t="s">
        <v>251</v>
      </c>
      <c r="F175" s="83">
        <v>5.65</v>
      </c>
      <c r="J175"/>
    </row>
    <row r="176" spans="1:11" hidden="1" outlineLevel="1" x14ac:dyDescent="0.2">
      <c r="A176" s="82" t="s">
        <v>274</v>
      </c>
      <c r="B176" s="82" t="s">
        <v>275</v>
      </c>
      <c r="C176" s="87" t="s">
        <v>249</v>
      </c>
      <c r="D176" s="82" t="s">
        <v>276</v>
      </c>
      <c r="E176" t="s">
        <v>251</v>
      </c>
      <c r="F176" s="83">
        <v>5.65</v>
      </c>
      <c r="G176"/>
      <c r="J176"/>
    </row>
    <row r="177" spans="1:10" hidden="1" outlineLevel="1" x14ac:dyDescent="0.2">
      <c r="A177" s="82" t="s">
        <v>277</v>
      </c>
      <c r="B177" s="82" t="s">
        <v>278</v>
      </c>
      <c r="C177" s="87" t="s">
        <v>249</v>
      </c>
      <c r="D177" s="82" t="s">
        <v>276</v>
      </c>
      <c r="E177" t="s">
        <v>251</v>
      </c>
      <c r="F177" s="83">
        <v>5.65</v>
      </c>
      <c r="G177"/>
      <c r="J177"/>
    </row>
    <row r="178" spans="1:10" hidden="1" outlineLevel="1" x14ac:dyDescent="0.2">
      <c r="A178" s="82" t="s">
        <v>279</v>
      </c>
      <c r="B178" s="82" t="s">
        <v>280</v>
      </c>
      <c r="C178" s="87" t="s">
        <v>249</v>
      </c>
      <c r="D178" s="82" t="s">
        <v>276</v>
      </c>
      <c r="E178" t="s">
        <v>251</v>
      </c>
      <c r="F178" s="83">
        <v>5.65</v>
      </c>
      <c r="G178"/>
      <c r="J178"/>
    </row>
    <row r="179" spans="1:10" hidden="1" outlineLevel="1" x14ac:dyDescent="0.2">
      <c r="A179" s="82" t="s">
        <v>281</v>
      </c>
      <c r="B179" s="82" t="s">
        <v>282</v>
      </c>
      <c r="C179" s="87" t="s">
        <v>249</v>
      </c>
      <c r="D179" s="82" t="s">
        <v>276</v>
      </c>
      <c r="E179" t="s">
        <v>251</v>
      </c>
      <c r="F179" s="83">
        <v>5.65</v>
      </c>
      <c r="G179"/>
      <c r="J179"/>
    </row>
    <row r="180" spans="1:10" hidden="1" outlineLevel="1" x14ac:dyDescent="0.2">
      <c r="A180" s="82" t="s">
        <v>283</v>
      </c>
      <c r="B180" s="82" t="s">
        <v>284</v>
      </c>
      <c r="C180" s="87" t="s">
        <v>249</v>
      </c>
      <c r="D180" s="82" t="s">
        <v>276</v>
      </c>
      <c r="E180" t="s">
        <v>251</v>
      </c>
      <c r="F180" s="83">
        <v>5.65</v>
      </c>
      <c r="G180"/>
      <c r="J180"/>
    </row>
    <row r="181" spans="1:10" hidden="1" outlineLevel="1" x14ac:dyDescent="0.2">
      <c r="A181" s="82" t="s">
        <v>285</v>
      </c>
      <c r="B181" s="82" t="s">
        <v>286</v>
      </c>
      <c r="C181" s="87" t="s">
        <v>249</v>
      </c>
      <c r="D181" s="82" t="s">
        <v>276</v>
      </c>
      <c r="E181" t="s">
        <v>251</v>
      </c>
      <c r="F181" s="83">
        <v>5.65</v>
      </c>
      <c r="G181"/>
      <c r="J181"/>
    </row>
    <row r="182" spans="1:10" hidden="1" outlineLevel="1" x14ac:dyDescent="0.2">
      <c r="A182" s="82" t="s">
        <v>287</v>
      </c>
      <c r="B182" s="82" t="s">
        <v>288</v>
      </c>
      <c r="C182" s="87" t="s">
        <v>249</v>
      </c>
      <c r="D182" s="82" t="s">
        <v>276</v>
      </c>
      <c r="E182" t="s">
        <v>251</v>
      </c>
      <c r="F182" s="83">
        <v>5.65</v>
      </c>
      <c r="G182"/>
      <c r="J182"/>
    </row>
    <row r="183" spans="1:10" hidden="1" outlineLevel="1" x14ac:dyDescent="0.2">
      <c r="A183" s="82" t="s">
        <v>289</v>
      </c>
      <c r="B183" s="82" t="s">
        <v>290</v>
      </c>
      <c r="C183" s="87" t="s">
        <v>249</v>
      </c>
      <c r="D183" s="82" t="s">
        <v>276</v>
      </c>
      <c r="E183" t="s">
        <v>251</v>
      </c>
      <c r="F183" s="83">
        <v>5.65</v>
      </c>
      <c r="G183"/>
      <c r="J183"/>
    </row>
    <row r="184" spans="1:10" hidden="1" outlineLevel="1" x14ac:dyDescent="0.2">
      <c r="A184" s="82" t="s">
        <v>291</v>
      </c>
      <c r="B184" s="82" t="s">
        <v>292</v>
      </c>
      <c r="C184" s="87" t="s">
        <v>249</v>
      </c>
      <c r="D184" s="82" t="s">
        <v>276</v>
      </c>
      <c r="E184" t="s">
        <v>251</v>
      </c>
      <c r="F184" s="83">
        <v>5.65</v>
      </c>
      <c r="G184"/>
      <c r="J184"/>
    </row>
    <row r="185" spans="1:10" hidden="1" outlineLevel="1" x14ac:dyDescent="0.2">
      <c r="A185" s="82" t="s">
        <v>293</v>
      </c>
      <c r="B185" s="82" t="s">
        <v>294</v>
      </c>
      <c r="C185" s="87" t="s">
        <v>249</v>
      </c>
      <c r="D185" s="82" t="s">
        <v>295</v>
      </c>
      <c r="E185" t="s">
        <v>251</v>
      </c>
      <c r="F185" s="83">
        <v>5.65</v>
      </c>
      <c r="J185"/>
    </row>
    <row r="186" spans="1:10" hidden="1" outlineLevel="1" x14ac:dyDescent="0.2">
      <c r="A186" s="82" t="s">
        <v>296</v>
      </c>
      <c r="B186" s="82" t="s">
        <v>297</v>
      </c>
      <c r="C186" s="87" t="s">
        <v>249</v>
      </c>
      <c r="D186" s="82" t="s">
        <v>295</v>
      </c>
      <c r="E186" t="s">
        <v>251</v>
      </c>
      <c r="F186" s="83">
        <v>5.65</v>
      </c>
      <c r="J186"/>
    </row>
    <row r="187" spans="1:10" hidden="1" outlineLevel="1" x14ac:dyDescent="0.2">
      <c r="A187" s="82" t="s">
        <v>298</v>
      </c>
      <c r="B187" s="82" t="s">
        <v>299</v>
      </c>
      <c r="C187" s="87" t="s">
        <v>249</v>
      </c>
      <c r="D187" s="82" t="s">
        <v>295</v>
      </c>
      <c r="E187" t="s">
        <v>251</v>
      </c>
      <c r="F187" s="83">
        <v>5.65</v>
      </c>
      <c r="J187"/>
    </row>
    <row r="188" spans="1:10" hidden="1" outlineLevel="1" x14ac:dyDescent="0.2">
      <c r="A188" s="82" t="s">
        <v>300</v>
      </c>
      <c r="B188" s="82" t="s">
        <v>301</v>
      </c>
      <c r="C188" s="87" t="s">
        <v>249</v>
      </c>
      <c r="D188" s="82" t="s">
        <v>295</v>
      </c>
      <c r="E188" t="s">
        <v>251</v>
      </c>
      <c r="F188" s="83">
        <v>5.65</v>
      </c>
      <c r="J188"/>
    </row>
    <row r="189" spans="1:10" hidden="1" outlineLevel="1" x14ac:dyDescent="0.2">
      <c r="A189" s="82" t="s">
        <v>302</v>
      </c>
      <c r="B189" s="82" t="s">
        <v>303</v>
      </c>
      <c r="C189" s="87" t="s">
        <v>249</v>
      </c>
      <c r="D189" s="82" t="s">
        <v>295</v>
      </c>
      <c r="E189" t="s">
        <v>251</v>
      </c>
      <c r="F189" s="83">
        <v>5.65</v>
      </c>
      <c r="J189"/>
    </row>
    <row r="190" spans="1:10" hidden="1" outlineLevel="1" x14ac:dyDescent="0.2">
      <c r="A190" s="82" t="s">
        <v>304</v>
      </c>
      <c r="B190" s="82" t="s">
        <v>305</v>
      </c>
      <c r="C190" s="87" t="s">
        <v>249</v>
      </c>
      <c r="D190" s="82" t="s">
        <v>295</v>
      </c>
      <c r="E190" t="s">
        <v>251</v>
      </c>
      <c r="F190" s="83">
        <v>5.65</v>
      </c>
      <c r="J190"/>
    </row>
    <row r="191" spans="1:10" hidden="1" outlineLevel="1" x14ac:dyDescent="0.2">
      <c r="A191" s="82" t="s">
        <v>306</v>
      </c>
      <c r="B191" s="82" t="s">
        <v>307</v>
      </c>
      <c r="C191" s="87" t="s">
        <v>249</v>
      </c>
      <c r="D191" s="82" t="s">
        <v>295</v>
      </c>
      <c r="E191" t="s">
        <v>251</v>
      </c>
      <c r="F191" s="83">
        <v>5.65</v>
      </c>
      <c r="H191"/>
      <c r="I191"/>
      <c r="J191"/>
    </row>
    <row r="192" spans="1:10" hidden="1" outlineLevel="1" x14ac:dyDescent="0.2">
      <c r="A192" s="82" t="s">
        <v>308</v>
      </c>
      <c r="B192" s="82" t="s">
        <v>309</v>
      </c>
      <c r="C192" s="87" t="s">
        <v>249</v>
      </c>
      <c r="D192" s="82" t="s">
        <v>295</v>
      </c>
      <c r="E192" t="s">
        <v>251</v>
      </c>
      <c r="F192" s="83">
        <v>5.65</v>
      </c>
      <c r="H192"/>
      <c r="I192"/>
      <c r="J192"/>
    </row>
    <row r="193" spans="1:10" hidden="1" outlineLevel="1" x14ac:dyDescent="0.2">
      <c r="A193" s="82" t="s">
        <v>310</v>
      </c>
      <c r="B193" s="82" t="s">
        <v>311</v>
      </c>
      <c r="C193" s="87" t="s">
        <v>249</v>
      </c>
      <c r="D193" s="82" t="s">
        <v>295</v>
      </c>
      <c r="E193" t="s">
        <v>251</v>
      </c>
      <c r="F193" s="83">
        <v>5.65</v>
      </c>
      <c r="H193"/>
      <c r="I193"/>
      <c r="J193"/>
    </row>
    <row r="194" spans="1:10" hidden="1" outlineLevel="1" x14ac:dyDescent="0.2">
      <c r="A194" s="82" t="s">
        <v>312</v>
      </c>
      <c r="B194" s="82" t="s">
        <v>313</v>
      </c>
      <c r="C194" s="87" t="s">
        <v>249</v>
      </c>
      <c r="D194" s="82" t="s">
        <v>295</v>
      </c>
      <c r="E194" t="s">
        <v>251</v>
      </c>
      <c r="F194" s="83">
        <v>5.65</v>
      </c>
      <c r="H194"/>
      <c r="I194"/>
      <c r="J194"/>
    </row>
    <row r="195" spans="1:10" hidden="1" outlineLevel="1" x14ac:dyDescent="0.2">
      <c r="A195" s="82" t="s">
        <v>314</v>
      </c>
      <c r="B195" s="82" t="s">
        <v>315</v>
      </c>
      <c r="C195" s="87" t="s">
        <v>249</v>
      </c>
      <c r="D195" s="82" t="s">
        <v>295</v>
      </c>
      <c r="E195" t="s">
        <v>251</v>
      </c>
      <c r="F195" s="83">
        <v>5.65</v>
      </c>
      <c r="H195"/>
      <c r="I195"/>
      <c r="J195"/>
    </row>
    <row r="196" spans="1:10" hidden="1" outlineLevel="1" x14ac:dyDescent="0.2">
      <c r="A196" s="88" t="s">
        <v>316</v>
      </c>
      <c r="B196" s="88" t="s">
        <v>317</v>
      </c>
      <c r="C196" s="87" t="s">
        <v>249</v>
      </c>
      <c r="D196" s="82" t="s">
        <v>318</v>
      </c>
      <c r="E196" t="s">
        <v>251</v>
      </c>
      <c r="F196" s="83">
        <v>5.65</v>
      </c>
      <c r="H196"/>
      <c r="I196"/>
      <c r="J196"/>
    </row>
    <row r="197" spans="1:10" hidden="1" outlineLevel="1" x14ac:dyDescent="0.2">
      <c r="A197" s="82" t="s">
        <v>319</v>
      </c>
      <c r="B197" s="82" t="s">
        <v>320</v>
      </c>
      <c r="C197" s="87" t="s">
        <v>249</v>
      </c>
      <c r="D197" s="82" t="s">
        <v>318</v>
      </c>
      <c r="E197" t="s">
        <v>251</v>
      </c>
      <c r="F197" s="83">
        <v>5.65</v>
      </c>
      <c r="H197"/>
      <c r="I197"/>
      <c r="J197"/>
    </row>
    <row r="198" spans="1:10" hidden="1" outlineLevel="1" x14ac:dyDescent="0.2">
      <c r="A198" s="82" t="s">
        <v>321</v>
      </c>
      <c r="B198" s="82" t="s">
        <v>322</v>
      </c>
      <c r="C198" s="87" t="s">
        <v>249</v>
      </c>
      <c r="D198" s="82" t="s">
        <v>318</v>
      </c>
      <c r="E198" t="s">
        <v>251</v>
      </c>
      <c r="F198" s="83">
        <v>5.65</v>
      </c>
      <c r="H198"/>
      <c r="I198"/>
      <c r="J198"/>
    </row>
    <row r="199" spans="1:10" hidden="1" outlineLevel="1" x14ac:dyDescent="0.2">
      <c r="A199" s="82" t="s">
        <v>323</v>
      </c>
      <c r="B199" s="82" t="s">
        <v>324</v>
      </c>
      <c r="C199" s="87" t="s">
        <v>249</v>
      </c>
      <c r="D199" s="82" t="s">
        <v>318</v>
      </c>
      <c r="E199" t="s">
        <v>251</v>
      </c>
      <c r="F199" s="83">
        <v>5.65</v>
      </c>
      <c r="H199"/>
      <c r="I199"/>
      <c r="J199"/>
    </row>
    <row r="200" spans="1:10" hidden="1" outlineLevel="1" x14ac:dyDescent="0.2">
      <c r="A200" s="82" t="s">
        <v>325</v>
      </c>
      <c r="B200" s="82" t="s">
        <v>326</v>
      </c>
      <c r="C200" s="87" t="s">
        <v>249</v>
      </c>
      <c r="D200" s="82" t="s">
        <v>318</v>
      </c>
      <c r="E200" t="s">
        <v>251</v>
      </c>
      <c r="F200" s="83">
        <v>5.65</v>
      </c>
      <c r="H200"/>
      <c r="I200"/>
      <c r="J200"/>
    </row>
    <row r="201" spans="1:10" hidden="1" outlineLevel="1" x14ac:dyDescent="0.2">
      <c r="A201" s="82" t="s">
        <v>327</v>
      </c>
      <c r="B201" s="82" t="s">
        <v>328</v>
      </c>
      <c r="C201" s="87" t="s">
        <v>249</v>
      </c>
      <c r="D201" s="82" t="s">
        <v>318</v>
      </c>
      <c r="E201" t="s">
        <v>251</v>
      </c>
      <c r="F201" s="83">
        <v>5.65</v>
      </c>
      <c r="H201"/>
      <c r="I201"/>
      <c r="J201"/>
    </row>
    <row r="202" spans="1:10" hidden="1" outlineLevel="1" x14ac:dyDescent="0.2">
      <c r="A202" s="82" t="s">
        <v>329</v>
      </c>
      <c r="B202" s="82" t="s">
        <v>330</v>
      </c>
      <c r="C202" s="87" t="s">
        <v>249</v>
      </c>
      <c r="D202" s="82" t="s">
        <v>318</v>
      </c>
      <c r="E202" t="s">
        <v>251</v>
      </c>
      <c r="F202" s="83">
        <v>5.65</v>
      </c>
      <c r="H202"/>
      <c r="I202"/>
      <c r="J202"/>
    </row>
    <row r="203" spans="1:10" hidden="1" outlineLevel="1" x14ac:dyDescent="0.2">
      <c r="A203" s="82" t="s">
        <v>331</v>
      </c>
      <c r="B203" s="82" t="s">
        <v>332</v>
      </c>
      <c r="C203" s="87" t="s">
        <v>249</v>
      </c>
      <c r="D203" s="82" t="s">
        <v>333</v>
      </c>
      <c r="E203" t="s">
        <v>251</v>
      </c>
      <c r="F203" s="83">
        <v>5.65</v>
      </c>
      <c r="H203"/>
      <c r="I203"/>
      <c r="J203"/>
    </row>
    <row r="204" spans="1:10" hidden="1" outlineLevel="1" x14ac:dyDescent="0.2">
      <c r="A204" s="82" t="s">
        <v>334</v>
      </c>
      <c r="B204" s="82" t="s">
        <v>335</v>
      </c>
      <c r="C204" s="87" t="s">
        <v>249</v>
      </c>
      <c r="D204" s="82" t="s">
        <v>333</v>
      </c>
      <c r="E204" t="s">
        <v>251</v>
      </c>
      <c r="F204" s="83">
        <v>5.65</v>
      </c>
      <c r="H204"/>
      <c r="I204"/>
      <c r="J204"/>
    </row>
    <row r="205" spans="1:10" hidden="1" outlineLevel="1" x14ac:dyDescent="0.2">
      <c r="A205" s="82" t="s">
        <v>336</v>
      </c>
      <c r="B205" s="82" t="s">
        <v>337</v>
      </c>
      <c r="C205" s="87" t="s">
        <v>249</v>
      </c>
      <c r="D205" s="82" t="s">
        <v>333</v>
      </c>
      <c r="E205" t="s">
        <v>251</v>
      </c>
      <c r="F205" s="83">
        <v>5.65</v>
      </c>
      <c r="H205"/>
      <c r="I205"/>
      <c r="J205"/>
    </row>
    <row r="206" spans="1:10" hidden="1" outlineLevel="1" x14ac:dyDescent="0.2">
      <c r="A206" s="82" t="s">
        <v>338</v>
      </c>
      <c r="B206" s="82" t="s">
        <v>339</v>
      </c>
      <c r="C206" s="87" t="s">
        <v>249</v>
      </c>
      <c r="D206" s="82" t="s">
        <v>333</v>
      </c>
      <c r="E206" t="s">
        <v>251</v>
      </c>
      <c r="F206" s="83">
        <v>5.65</v>
      </c>
      <c r="H206"/>
      <c r="I206"/>
      <c r="J206"/>
    </row>
    <row r="207" spans="1:10" hidden="1" outlineLevel="1" x14ac:dyDescent="0.2">
      <c r="A207" s="82" t="s">
        <v>340</v>
      </c>
      <c r="B207" s="82" t="s">
        <v>341</v>
      </c>
      <c r="C207" s="87" t="s">
        <v>249</v>
      </c>
      <c r="D207" s="82" t="s">
        <v>333</v>
      </c>
      <c r="E207" t="s">
        <v>251</v>
      </c>
      <c r="F207" s="83">
        <v>5.65</v>
      </c>
      <c r="J207"/>
    </row>
    <row r="208" spans="1:10" hidden="1" outlineLevel="1" x14ac:dyDescent="0.2">
      <c r="A208" s="82" t="s">
        <v>342</v>
      </c>
      <c r="B208" s="82" t="s">
        <v>343</v>
      </c>
      <c r="C208" s="87" t="s">
        <v>249</v>
      </c>
      <c r="D208" s="82" t="s">
        <v>333</v>
      </c>
      <c r="E208" t="s">
        <v>251</v>
      </c>
      <c r="F208" s="83">
        <v>5.65</v>
      </c>
      <c r="J208"/>
    </row>
    <row r="209" spans="1:10" hidden="1" outlineLevel="1" x14ac:dyDescent="0.2">
      <c r="A209" s="82" t="s">
        <v>344</v>
      </c>
      <c r="B209" s="82" t="s">
        <v>345</v>
      </c>
      <c r="C209" s="87" t="s">
        <v>249</v>
      </c>
      <c r="D209" s="82" t="s">
        <v>333</v>
      </c>
      <c r="E209" t="s">
        <v>251</v>
      </c>
      <c r="F209" s="83">
        <v>5.65</v>
      </c>
      <c r="J209"/>
    </row>
    <row r="210" spans="1:10" hidden="1" outlineLevel="1" x14ac:dyDescent="0.2">
      <c r="A210" s="82" t="s">
        <v>346</v>
      </c>
      <c r="B210" s="82" t="s">
        <v>347</v>
      </c>
      <c r="C210" s="87" t="s">
        <v>249</v>
      </c>
      <c r="D210" s="82" t="s">
        <v>333</v>
      </c>
      <c r="E210" t="s">
        <v>251</v>
      </c>
      <c r="F210" s="83">
        <v>5.65</v>
      </c>
      <c r="J210"/>
    </row>
    <row r="211" spans="1:10" hidden="1" outlineLevel="1" x14ac:dyDescent="0.2">
      <c r="A211" s="82" t="s">
        <v>348</v>
      </c>
      <c r="B211" s="82" t="s">
        <v>349</v>
      </c>
      <c r="C211" s="87" t="s">
        <v>249</v>
      </c>
      <c r="D211" s="82" t="s">
        <v>333</v>
      </c>
      <c r="E211" t="s">
        <v>251</v>
      </c>
      <c r="F211" s="83">
        <v>5.65</v>
      </c>
      <c r="J211"/>
    </row>
    <row r="212" spans="1:10" hidden="1" outlineLevel="1" x14ac:dyDescent="0.2">
      <c r="A212" s="82" t="s">
        <v>350</v>
      </c>
      <c r="B212" s="82" t="s">
        <v>351</v>
      </c>
      <c r="C212" s="87" t="s">
        <v>249</v>
      </c>
      <c r="D212" s="82" t="s">
        <v>333</v>
      </c>
      <c r="E212" t="s">
        <v>251</v>
      </c>
      <c r="F212" s="83">
        <v>5.65</v>
      </c>
      <c r="J212"/>
    </row>
    <row r="213" spans="1:10" hidden="1" outlineLevel="1" x14ac:dyDescent="0.2">
      <c r="A213" s="82" t="s">
        <v>352</v>
      </c>
      <c r="B213" s="82" t="s">
        <v>353</v>
      </c>
      <c r="C213" s="87" t="s">
        <v>249</v>
      </c>
      <c r="D213" s="82" t="s">
        <v>333</v>
      </c>
      <c r="E213" t="s">
        <v>251</v>
      </c>
      <c r="F213" s="83">
        <v>5.65</v>
      </c>
      <c r="J213"/>
    </row>
    <row r="214" spans="1:10" hidden="1" outlineLevel="1" x14ac:dyDescent="0.2">
      <c r="A214" s="82" t="s">
        <v>354</v>
      </c>
      <c r="B214" s="82" t="s">
        <v>355</v>
      </c>
      <c r="C214" s="87" t="s">
        <v>249</v>
      </c>
      <c r="D214" s="82" t="s">
        <v>333</v>
      </c>
      <c r="E214" t="s">
        <v>251</v>
      </c>
      <c r="F214" s="83">
        <v>5.65</v>
      </c>
      <c r="J214"/>
    </row>
    <row r="215" spans="1:10" hidden="1" outlineLevel="1" x14ac:dyDescent="0.2">
      <c r="A215" s="82" t="s">
        <v>356</v>
      </c>
      <c r="B215" s="82">
        <v>3068</v>
      </c>
      <c r="C215" s="82" t="s">
        <v>357</v>
      </c>
      <c r="D215" s="82" t="s">
        <v>276</v>
      </c>
      <c r="E215" t="s">
        <v>251</v>
      </c>
      <c r="F215" s="83">
        <v>5.65</v>
      </c>
      <c r="I215"/>
      <c r="J215"/>
    </row>
    <row r="216" spans="1:10" hidden="1" outlineLevel="1" x14ac:dyDescent="0.2">
      <c r="A216" s="82" t="s">
        <v>358</v>
      </c>
      <c r="B216" s="82">
        <v>3944</v>
      </c>
      <c r="C216" s="82" t="s">
        <v>357</v>
      </c>
      <c r="D216" s="82" t="s">
        <v>276</v>
      </c>
      <c r="E216" t="s">
        <v>251</v>
      </c>
      <c r="F216" s="83">
        <v>5.65</v>
      </c>
      <c r="I216"/>
      <c r="J216"/>
    </row>
    <row r="217" spans="1:10" hidden="1" outlineLevel="1" x14ac:dyDescent="0.2">
      <c r="A217" s="82" t="s">
        <v>359</v>
      </c>
      <c r="B217" s="82">
        <v>3278</v>
      </c>
      <c r="C217" s="82" t="s">
        <v>357</v>
      </c>
      <c r="D217" s="82" t="s">
        <v>276</v>
      </c>
      <c r="E217" t="s">
        <v>251</v>
      </c>
      <c r="F217" s="83">
        <v>5.65</v>
      </c>
      <c r="I217"/>
      <c r="J217"/>
    </row>
    <row r="218" spans="1:10" hidden="1" outlineLevel="1" x14ac:dyDescent="0.2">
      <c r="A218" s="82" t="s">
        <v>360</v>
      </c>
      <c r="B218" s="82">
        <v>3112</v>
      </c>
      <c r="C218" s="82" t="s">
        <v>357</v>
      </c>
      <c r="D218" s="82" t="s">
        <v>276</v>
      </c>
      <c r="E218" t="s">
        <v>251</v>
      </c>
      <c r="F218" s="83">
        <v>5.65</v>
      </c>
      <c r="I218"/>
      <c r="J218"/>
    </row>
    <row r="219" spans="1:10" hidden="1" outlineLevel="1" x14ac:dyDescent="0.2">
      <c r="A219" s="82" t="s">
        <v>504</v>
      </c>
      <c r="B219" s="82" t="s">
        <v>502</v>
      </c>
      <c r="C219" s="82" t="s">
        <v>503</v>
      </c>
      <c r="D219" s="82" t="s">
        <v>505</v>
      </c>
      <c r="E219" t="s">
        <v>251</v>
      </c>
      <c r="F219" s="83">
        <v>-5.65</v>
      </c>
      <c r="I219"/>
      <c r="J219"/>
    </row>
    <row r="220" spans="1:10" collapsed="1" x14ac:dyDescent="0.2">
      <c r="E220" s="59"/>
      <c r="J220"/>
    </row>
    <row r="221" spans="1:10" x14ac:dyDescent="0.2">
      <c r="J221"/>
    </row>
    <row r="222" spans="1:10" x14ac:dyDescent="0.2">
      <c r="J222"/>
    </row>
    <row r="223" spans="1:10" x14ac:dyDescent="0.2">
      <c r="J223"/>
    </row>
    <row r="224" spans="1:10" x14ac:dyDescent="0.2">
      <c r="J224"/>
    </row>
    <row r="225" spans="10:10" x14ac:dyDescent="0.2">
      <c r="J225"/>
    </row>
    <row r="226" spans="10:10" x14ac:dyDescent="0.2">
      <c r="J226"/>
    </row>
    <row r="227" spans="10:10" x14ac:dyDescent="0.2">
      <c r="J227"/>
    </row>
    <row r="228" spans="10:10" x14ac:dyDescent="0.2">
      <c r="J228"/>
    </row>
    <row r="229" spans="10:10" x14ac:dyDescent="0.2">
      <c r="J229"/>
    </row>
    <row r="230" spans="10:10" x14ac:dyDescent="0.2">
      <c r="J230"/>
    </row>
    <row r="231" spans="10:10" x14ac:dyDescent="0.2">
      <c r="J231"/>
    </row>
    <row r="232" spans="10:10" x14ac:dyDescent="0.2">
      <c r="J232"/>
    </row>
    <row r="233" spans="10:10" x14ac:dyDescent="0.2">
      <c r="J233"/>
    </row>
    <row r="234" spans="10:10" x14ac:dyDescent="0.2">
      <c r="J234"/>
    </row>
    <row r="235" spans="10:10" x14ac:dyDescent="0.2">
      <c r="J235"/>
    </row>
    <row r="236" spans="10:10" x14ac:dyDescent="0.2">
      <c r="J236"/>
    </row>
    <row r="237" spans="10:10" x14ac:dyDescent="0.2">
      <c r="J237"/>
    </row>
    <row r="238" spans="10:10" x14ac:dyDescent="0.2">
      <c r="J238"/>
    </row>
    <row r="239" spans="10:10" x14ac:dyDescent="0.2">
      <c r="J239"/>
    </row>
    <row r="240" spans="10:10" x14ac:dyDescent="0.2">
      <c r="J240"/>
    </row>
    <row r="241" spans="10:10" x14ac:dyDescent="0.2">
      <c r="J241"/>
    </row>
    <row r="242" spans="10:10" x14ac:dyDescent="0.2">
      <c r="J242"/>
    </row>
    <row r="243" spans="10:10" x14ac:dyDescent="0.2">
      <c r="J243"/>
    </row>
    <row r="244" spans="10:10" x14ac:dyDescent="0.2">
      <c r="J244"/>
    </row>
    <row r="245" spans="10:10" x14ac:dyDescent="0.2">
      <c r="J245"/>
    </row>
    <row r="246" spans="10:10" x14ac:dyDescent="0.2">
      <c r="J246"/>
    </row>
    <row r="247" spans="10:10" x14ac:dyDescent="0.2">
      <c r="J247"/>
    </row>
    <row r="248" spans="10:10" x14ac:dyDescent="0.2">
      <c r="J248"/>
    </row>
    <row r="249" spans="10:10" x14ac:dyDescent="0.2">
      <c r="J249"/>
    </row>
    <row r="250" spans="10:10" x14ac:dyDescent="0.2">
      <c r="J250"/>
    </row>
    <row r="251" spans="10:10" x14ac:dyDescent="0.2">
      <c r="J251"/>
    </row>
    <row r="252" spans="10:10" x14ac:dyDescent="0.2">
      <c r="J252"/>
    </row>
    <row r="253" spans="10:10" x14ac:dyDescent="0.2">
      <c r="J253"/>
    </row>
    <row r="254" spans="10:10" x14ac:dyDescent="0.2">
      <c r="J254"/>
    </row>
    <row r="255" spans="10:10" x14ac:dyDescent="0.2">
      <c r="J255"/>
    </row>
  </sheetData>
  <sheetProtection selectLockedCells="1" selectUnlockedCells="1"/>
  <dataValidations count="1">
    <dataValidation type="list" allowBlank="1" showInputMessage="1" showErrorMessage="1" sqref="D54:D160">
      <formula1>Hop_Usage</formula1>
    </dataValidation>
  </dataValidations>
  <hyperlinks>
    <hyperlink ref="E1" r:id="rId1"/>
  </hyperlinks>
  <pageMargins left="0.7" right="0.7" top="0.75" bottom="0.75" header="0.51180555555555551" footer="0.51180555555555551"/>
  <pageSetup firstPageNumber="0"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C12"/>
  <sheetViews>
    <sheetView workbookViewId="0">
      <selection activeCell="B10" sqref="B10:B12"/>
    </sheetView>
  </sheetViews>
  <sheetFormatPr defaultColWidth="9.28515625" defaultRowHeight="12.75" x14ac:dyDescent="0.2"/>
  <cols>
    <col min="1" max="1" width="29.7109375" style="42" customWidth="1"/>
    <col min="2" max="2" width="10.5703125" style="42" customWidth="1"/>
    <col min="3" max="16384" width="9.28515625" style="42"/>
  </cols>
  <sheetData>
    <row r="2" spans="1:3" x14ac:dyDescent="0.2">
      <c r="A2" s="1" t="s">
        <v>361</v>
      </c>
      <c r="B2" s="1">
        <v>155</v>
      </c>
      <c r="C2" s="42" t="s">
        <v>362</v>
      </c>
    </row>
    <row r="3" spans="1:3" x14ac:dyDescent="0.2">
      <c r="A3" s="1" t="s">
        <v>363</v>
      </c>
      <c r="B3" s="1">
        <v>145</v>
      </c>
      <c r="C3" s="42" t="s">
        <v>362</v>
      </c>
    </row>
    <row r="5" spans="1:3" ht="25.5" x14ac:dyDescent="0.2">
      <c r="A5" s="1" t="s">
        <v>364</v>
      </c>
      <c r="B5" s="89">
        <v>0.67600000000000016</v>
      </c>
    </row>
    <row r="10" spans="1:3" x14ac:dyDescent="0.2">
      <c r="A10" s="34" t="s">
        <v>493</v>
      </c>
      <c r="B10" s="34" t="s">
        <v>490</v>
      </c>
    </row>
    <row r="11" spans="1:3" x14ac:dyDescent="0.2">
      <c r="B11" s="34" t="s">
        <v>491</v>
      </c>
    </row>
    <row r="12" spans="1:3" x14ac:dyDescent="0.2">
      <c r="B12" s="34" t="s">
        <v>492</v>
      </c>
    </row>
  </sheetData>
  <sheetProtection selectLockedCells="1" selectUnlockedCells="1"/>
  <pageMargins left="0.7" right="0.7" top="0.75" bottom="0.75" header="0.51180555555555551" footer="0.51180555555555551"/>
  <pageSetup firstPageNumber="0"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E45"/>
  <sheetViews>
    <sheetView zoomScaleNormal="100" workbookViewId="0">
      <selection activeCell="I25" sqref="I25"/>
    </sheetView>
  </sheetViews>
  <sheetFormatPr defaultColWidth="12.140625" defaultRowHeight="12.75" x14ac:dyDescent="0.2"/>
  <cols>
    <col min="1" max="16384" width="12.140625" style="189"/>
  </cols>
  <sheetData>
    <row r="1" spans="1:31" ht="15" x14ac:dyDescent="0.2">
      <c r="B1" s="226" t="s">
        <v>482</v>
      </c>
      <c r="D1" s="217"/>
      <c r="H1" s="191"/>
      <c r="M1" s="190"/>
      <c r="N1" s="190"/>
      <c r="O1" s="190"/>
      <c r="P1" s="190"/>
      <c r="Q1" s="190"/>
      <c r="R1" s="190"/>
      <c r="S1" s="190"/>
      <c r="T1" s="190"/>
      <c r="U1" s="190"/>
      <c r="V1" s="190"/>
      <c r="W1" s="190"/>
      <c r="X1" s="190"/>
      <c r="Y1" s="190"/>
      <c r="Z1" s="190"/>
      <c r="AA1" s="190"/>
      <c r="AB1" s="190"/>
    </row>
    <row r="2" spans="1:31" x14ac:dyDescent="0.2">
      <c r="D2" s="217"/>
      <c r="H2" s="191"/>
      <c r="M2" s="190"/>
      <c r="N2" s="192"/>
      <c r="O2" s="192"/>
      <c r="P2" s="192"/>
      <c r="Q2" s="192"/>
      <c r="R2" s="192"/>
      <c r="S2" s="192"/>
      <c r="T2" s="192"/>
      <c r="U2" s="192"/>
      <c r="V2" s="192"/>
      <c r="W2" s="190"/>
      <c r="X2" s="190"/>
      <c r="Y2" s="190"/>
      <c r="Z2" s="190"/>
      <c r="AA2" s="190"/>
      <c r="AB2" s="190"/>
    </row>
    <row r="3" spans="1:31" x14ac:dyDescent="0.2">
      <c r="H3" s="196"/>
      <c r="J3" s="197" t="s">
        <v>481</v>
      </c>
      <c r="M3" s="224"/>
      <c r="N3" s="190"/>
      <c r="O3" s="190"/>
      <c r="P3" s="190"/>
      <c r="Q3" s="190"/>
      <c r="R3" s="190"/>
      <c r="S3" s="190"/>
      <c r="T3" s="190"/>
      <c r="U3" s="190"/>
      <c r="V3" s="190"/>
      <c r="W3" s="190"/>
      <c r="X3" s="190"/>
      <c r="Y3" s="190"/>
      <c r="Z3" s="190"/>
      <c r="AA3" s="190"/>
      <c r="AB3" s="190"/>
    </row>
    <row r="4" spans="1:31" x14ac:dyDescent="0.2">
      <c r="A4" s="225" t="s">
        <v>480</v>
      </c>
      <c r="B4" s="190"/>
      <c r="C4" s="190"/>
      <c r="D4" s="190"/>
      <c r="E4" s="190" t="s">
        <v>479</v>
      </c>
      <c r="F4" s="190" t="s">
        <v>478</v>
      </c>
      <c r="G4" s="190" t="s">
        <v>477</v>
      </c>
      <c r="H4" s="196"/>
      <c r="I4" s="200"/>
      <c r="J4" s="197" t="s">
        <v>476</v>
      </c>
      <c r="K4" s="200"/>
      <c r="M4" s="224"/>
      <c r="N4" s="190"/>
      <c r="O4" s="190"/>
      <c r="P4" s="190"/>
      <c r="Q4" s="190"/>
      <c r="R4" s="190"/>
      <c r="S4" s="190"/>
      <c r="T4" s="190"/>
      <c r="U4" s="190"/>
      <c r="V4" s="190"/>
      <c r="W4" s="192"/>
      <c r="X4" s="192"/>
      <c r="Y4" s="192"/>
      <c r="Z4" s="192"/>
      <c r="AA4" s="192"/>
      <c r="AB4" s="192"/>
    </row>
    <row r="5" spans="1:31" x14ac:dyDescent="0.2">
      <c r="A5" s="190" t="s">
        <v>475</v>
      </c>
      <c r="B5" s="190" t="s">
        <v>474</v>
      </c>
      <c r="C5" s="190" t="s">
        <v>473</v>
      </c>
      <c r="D5" s="190" t="s">
        <v>472</v>
      </c>
      <c r="E5" s="190" t="s">
        <v>471</v>
      </c>
      <c r="F5" s="190" t="s">
        <v>470</v>
      </c>
      <c r="G5" s="190" t="s">
        <v>469</v>
      </c>
      <c r="H5" s="196"/>
      <c r="I5" s="200"/>
      <c r="K5" s="200"/>
      <c r="M5" s="224"/>
      <c r="N5" s="190"/>
      <c r="O5" s="190"/>
      <c r="P5" s="190"/>
      <c r="Q5" s="190"/>
      <c r="R5" s="190"/>
      <c r="S5" s="190"/>
      <c r="T5" s="190"/>
      <c r="U5" s="190"/>
      <c r="V5" s="190"/>
      <c r="W5" s="192"/>
      <c r="X5" s="192"/>
      <c r="Y5" s="192"/>
      <c r="Z5" s="192"/>
      <c r="AA5" s="192"/>
      <c r="AB5" s="192"/>
    </row>
    <row r="6" spans="1:31" x14ac:dyDescent="0.2">
      <c r="A6" s="220">
        <f>Mash!B43</f>
        <v>8</v>
      </c>
      <c r="B6" s="223">
        <f>10^(A6-6.38)</f>
        <v>41.686938347033561</v>
      </c>
      <c r="C6" s="223">
        <f>10^(A6-10.33)</f>
        <v>4.6773514128719777E-3</v>
      </c>
      <c r="D6" s="223">
        <f>1+B6+B6*C6</f>
        <v>42.881922807009367</v>
      </c>
      <c r="E6" s="219">
        <f>1/D6</f>
        <v>2.3319849823444545E-2</v>
      </c>
      <c r="F6" s="219">
        <f>B6/D6</f>
        <v>0.97213314185201416</v>
      </c>
      <c r="G6" s="219">
        <f>B6*C6/D6</f>
        <v>4.5470083245411934E-3</v>
      </c>
      <c r="H6" s="196"/>
      <c r="I6" s="200"/>
      <c r="K6" s="200"/>
      <c r="N6" s="190"/>
      <c r="O6" s="190"/>
      <c r="P6" s="190"/>
      <c r="Q6" s="190"/>
      <c r="R6" s="190"/>
      <c r="S6" s="190"/>
      <c r="T6" s="190"/>
      <c r="U6" s="190"/>
      <c r="V6" s="190"/>
      <c r="W6" s="192"/>
      <c r="X6" s="192"/>
      <c r="Y6" s="192"/>
      <c r="Z6" s="192"/>
      <c r="AA6" s="192"/>
      <c r="AB6" s="192"/>
    </row>
    <row r="7" spans="1:31" x14ac:dyDescent="0.2">
      <c r="A7" s="220">
        <f>Mash!C43</f>
        <v>6</v>
      </c>
      <c r="B7" s="222">
        <f>10^(Mash!C44-6.38)</f>
        <v>4.1686938347033493E-7</v>
      </c>
      <c r="C7" s="222">
        <f>10^(Mash!C44-10.33)</f>
        <v>4.6773514128719782E-11</v>
      </c>
      <c r="D7" s="222">
        <f>1+B7+B7*C7</f>
        <v>1.0000004168693835</v>
      </c>
      <c r="E7" s="221">
        <f>1/D7</f>
        <v>0.99999958313079029</v>
      </c>
      <c r="F7" s="221">
        <f>B7/D7</f>
        <v>4.1686920969032448E-7</v>
      </c>
      <c r="G7" s="221">
        <f>B7*C7/D7</f>
        <v>1.9498437869278643E-17</v>
      </c>
      <c r="H7" s="190"/>
      <c r="I7" s="200"/>
      <c r="J7" s="189" t="s">
        <v>381</v>
      </c>
      <c r="K7" s="200"/>
      <c r="M7" s="190"/>
      <c r="N7" s="190"/>
      <c r="O7" s="190"/>
      <c r="V7" s="190"/>
      <c r="W7" s="192"/>
      <c r="X7" s="192"/>
      <c r="Y7" s="192"/>
      <c r="Z7" s="192"/>
      <c r="AA7" s="192"/>
      <c r="AB7" s="192"/>
    </row>
    <row r="8" spans="1:31" x14ac:dyDescent="0.2">
      <c r="A8" s="220">
        <v>4.3</v>
      </c>
      <c r="B8" s="201">
        <f>10^(4.3-6.38)</f>
        <v>8.3176377110267055E-3</v>
      </c>
      <c r="C8" s="201">
        <f>10^(4.3-10.33)</f>
        <v>9.3325430079699009E-7</v>
      </c>
      <c r="D8" s="201">
        <f>1+B8+B8*C8</f>
        <v>1.0083176454734979</v>
      </c>
      <c r="E8" s="219">
        <f>1/D8</f>
        <v>0.9917509670580128</v>
      </c>
      <c r="F8" s="219">
        <f>B8/D8</f>
        <v>8.2490252435489311E-3</v>
      </c>
      <c r="G8" s="219">
        <f>B8*C8/D8</f>
        <v>7.6984382859249789E-9</v>
      </c>
      <c r="H8" s="190"/>
      <c r="I8" s="200"/>
      <c r="J8" s="189" t="s">
        <v>468</v>
      </c>
      <c r="K8" s="200"/>
      <c r="M8" s="218"/>
      <c r="N8" s="190"/>
      <c r="O8" s="190"/>
      <c r="V8" s="190"/>
      <c r="W8" s="192"/>
      <c r="X8" s="192"/>
      <c r="Y8" s="192"/>
      <c r="Z8" s="192"/>
      <c r="AA8" s="192"/>
      <c r="AB8" s="192"/>
    </row>
    <row r="9" spans="1:31" x14ac:dyDescent="0.2">
      <c r="H9" s="192"/>
      <c r="M9" s="218"/>
      <c r="N9" s="190"/>
      <c r="O9" s="190"/>
      <c r="P9" s="190"/>
      <c r="Q9" s="190"/>
      <c r="R9" s="190"/>
      <c r="S9" s="190"/>
      <c r="T9" s="190"/>
      <c r="U9" s="209"/>
      <c r="V9" s="190"/>
      <c r="W9" s="192"/>
      <c r="X9" s="192"/>
      <c r="Y9" s="192"/>
      <c r="Z9" s="192"/>
      <c r="AA9" s="192"/>
      <c r="AB9" s="192"/>
    </row>
    <row r="10" spans="1:31" ht="13.5" thickBot="1" x14ac:dyDescent="0.25">
      <c r="D10" s="217"/>
      <c r="H10" s="192" t="s">
        <v>467</v>
      </c>
      <c r="I10" s="216"/>
      <c r="N10" s="190"/>
      <c r="O10" s="190"/>
      <c r="P10" s="190"/>
      <c r="Q10" s="190"/>
      <c r="R10" s="190"/>
      <c r="S10" s="190"/>
      <c r="T10" s="190"/>
      <c r="U10" s="209"/>
      <c r="V10" s="190"/>
      <c r="W10" s="192"/>
      <c r="X10" s="192"/>
      <c r="Y10" s="192"/>
      <c r="Z10" s="192"/>
      <c r="AA10" s="192"/>
      <c r="AB10" s="192"/>
    </row>
    <row r="11" spans="1:31" ht="13.5" thickBot="1" x14ac:dyDescent="0.25">
      <c r="B11" s="215" t="s">
        <v>466</v>
      </c>
      <c r="C11" s="213"/>
      <c r="D11" s="214"/>
      <c r="E11" s="213"/>
      <c r="F11" s="200"/>
      <c r="G11" s="200"/>
      <c r="N11" s="190"/>
      <c r="O11" s="190"/>
      <c r="P11" s="190"/>
      <c r="Q11" s="190"/>
      <c r="R11" s="190"/>
      <c r="S11" s="190"/>
      <c r="T11" s="190"/>
      <c r="U11" s="209"/>
      <c r="V11" s="190"/>
      <c r="W11" s="192"/>
      <c r="X11" s="192"/>
      <c r="Y11" s="192"/>
      <c r="Z11" s="192"/>
      <c r="AA11" s="192"/>
      <c r="AB11" s="192"/>
    </row>
    <row r="12" spans="1:31" x14ac:dyDescent="0.2">
      <c r="B12" s="212" t="s">
        <v>465</v>
      </c>
      <c r="C12" s="210"/>
      <c r="D12" s="211">
        <f>IF(Mash!E14="Alkalinity as CaCO3",Mash!E19,Mash!E19*50/61)</f>
        <v>0</v>
      </c>
      <c r="E12" s="210"/>
      <c r="F12" s="200"/>
      <c r="G12" s="200"/>
      <c r="H12" s="196"/>
      <c r="N12" s="190"/>
      <c r="O12" s="190"/>
      <c r="P12" s="190"/>
      <c r="Q12" s="190"/>
      <c r="R12" s="190"/>
      <c r="S12" s="190"/>
      <c r="T12" s="190"/>
      <c r="U12" s="209"/>
      <c r="V12" s="190"/>
      <c r="W12" s="192"/>
      <c r="X12" s="192"/>
      <c r="Y12" s="192"/>
      <c r="Z12" s="192"/>
      <c r="AA12" s="192"/>
      <c r="AB12" s="192"/>
    </row>
    <row r="13" spans="1:31" x14ac:dyDescent="0.2">
      <c r="B13" s="199" t="s">
        <v>464</v>
      </c>
      <c r="C13" s="197"/>
      <c r="D13" s="206">
        <f>D12/50</f>
        <v>0</v>
      </c>
      <c r="E13" s="197" t="s">
        <v>458</v>
      </c>
      <c r="F13" s="200"/>
      <c r="G13" s="200"/>
      <c r="H13" s="191"/>
      <c r="M13" s="192"/>
      <c r="N13" s="192"/>
      <c r="O13" s="192"/>
      <c r="P13" s="192"/>
      <c r="Q13" s="192"/>
      <c r="R13" s="192"/>
      <c r="S13" s="192"/>
      <c r="T13" s="192"/>
      <c r="U13" s="192"/>
      <c r="V13" s="192"/>
      <c r="W13" s="192"/>
      <c r="X13" s="192"/>
      <c r="Y13" s="192"/>
      <c r="Z13" s="192"/>
      <c r="AA13" s="192"/>
      <c r="AB13" s="192"/>
    </row>
    <row r="14" spans="1:31" x14ac:dyDescent="0.2">
      <c r="B14" s="208" t="s">
        <v>463</v>
      </c>
      <c r="C14" s="207"/>
      <c r="D14" s="206">
        <f>Mash!B43</f>
        <v>8</v>
      </c>
      <c r="E14" s="196"/>
      <c r="F14" s="200"/>
      <c r="G14" s="200"/>
      <c r="H14" s="196"/>
      <c r="M14" s="192"/>
      <c r="N14" s="192"/>
      <c r="O14" s="192"/>
      <c r="P14" s="192"/>
      <c r="Q14" s="192"/>
      <c r="R14" s="192"/>
      <c r="S14" s="192"/>
      <c r="T14" s="192"/>
      <c r="U14" s="192"/>
      <c r="V14" s="192"/>
      <c r="W14" s="192"/>
      <c r="X14" s="192"/>
      <c r="Y14" s="192"/>
      <c r="Z14" s="192"/>
      <c r="AA14" s="192"/>
      <c r="AB14" s="192"/>
    </row>
    <row r="15" spans="1:31" ht="15.75" x14ac:dyDescent="0.3">
      <c r="B15" s="199" t="s">
        <v>462</v>
      </c>
      <c r="C15" s="197"/>
      <c r="D15" s="204">
        <f>E6</f>
        <v>2.3319849823444545E-2</v>
      </c>
      <c r="E15" s="196"/>
      <c r="F15" s="200"/>
      <c r="G15" s="200"/>
      <c r="H15" s="196"/>
      <c r="I15" s="191"/>
      <c r="J15" s="191"/>
      <c r="K15" s="191"/>
      <c r="L15" s="191"/>
      <c r="M15" s="205"/>
      <c r="N15" s="205"/>
      <c r="O15" s="205"/>
      <c r="P15" s="205"/>
      <c r="Q15" s="192"/>
      <c r="R15" s="205"/>
      <c r="S15" s="205"/>
      <c r="T15" s="205"/>
      <c r="U15" s="205"/>
      <c r="V15" s="205"/>
      <c r="W15" s="205"/>
      <c r="X15" s="205"/>
      <c r="Y15" s="205"/>
      <c r="Z15" s="205"/>
      <c r="AA15" s="205"/>
      <c r="AB15" s="205"/>
      <c r="AC15" s="191"/>
      <c r="AD15" s="191"/>
      <c r="AE15" s="191"/>
    </row>
    <row r="16" spans="1:31" ht="15.75" x14ac:dyDescent="0.3">
      <c r="B16" s="199" t="s">
        <v>461</v>
      </c>
      <c r="C16" s="197"/>
      <c r="D16" s="204">
        <f>F6</f>
        <v>0.97213314185201416</v>
      </c>
      <c r="E16" s="196"/>
      <c r="F16" s="200"/>
      <c r="G16" s="200"/>
      <c r="H16" s="196"/>
      <c r="Y16" s="192"/>
      <c r="Z16" s="192"/>
      <c r="AA16" s="192"/>
      <c r="AB16" s="192"/>
    </row>
    <row r="17" spans="1:31" ht="15.75" x14ac:dyDescent="0.3">
      <c r="B17" s="199" t="s">
        <v>460</v>
      </c>
      <c r="C17" s="197"/>
      <c r="D17" s="204">
        <f>G6</f>
        <v>4.5470083245411934E-3</v>
      </c>
      <c r="E17" s="196"/>
      <c r="F17" s="200"/>
      <c r="G17" s="200"/>
      <c r="H17" s="196"/>
      <c r="Y17" s="192"/>
      <c r="Z17" s="192"/>
      <c r="AA17" s="192"/>
      <c r="AB17" s="192"/>
    </row>
    <row r="18" spans="1:31" x14ac:dyDescent="0.2">
      <c r="B18" s="208" t="s">
        <v>463</v>
      </c>
      <c r="C18" s="207"/>
      <c r="D18" s="206">
        <f>Mash!C43</f>
        <v>6</v>
      </c>
      <c r="E18" s="196"/>
      <c r="F18" s="200"/>
      <c r="G18" s="200"/>
      <c r="H18" s="196"/>
      <c r="Y18" s="192"/>
      <c r="Z18" s="192"/>
      <c r="AA18" s="192"/>
      <c r="AB18" s="192"/>
    </row>
    <row r="19" spans="1:31" ht="15.75" x14ac:dyDescent="0.3">
      <c r="B19" s="199" t="s">
        <v>462</v>
      </c>
      <c r="C19" s="197"/>
      <c r="D19" s="204">
        <f>E7</f>
        <v>0.99999958313079029</v>
      </c>
      <c r="E19" s="196"/>
      <c r="F19" s="200"/>
      <c r="G19" s="200"/>
      <c r="H19" s="196"/>
      <c r="Y19" s="205"/>
      <c r="Z19" s="205"/>
      <c r="AA19" s="205"/>
      <c r="AB19" s="205"/>
      <c r="AC19" s="191"/>
      <c r="AD19" s="191"/>
      <c r="AE19" s="191"/>
    </row>
    <row r="20" spans="1:31" ht="15.75" x14ac:dyDescent="0.3">
      <c r="B20" s="199" t="s">
        <v>461</v>
      </c>
      <c r="C20" s="197"/>
      <c r="D20" s="204">
        <f>F7</f>
        <v>4.1686920969032448E-7</v>
      </c>
      <c r="E20" s="197"/>
      <c r="F20" s="200"/>
      <c r="G20" s="200"/>
      <c r="H20" s="196"/>
      <c r="Y20" s="192"/>
      <c r="Z20" s="192"/>
      <c r="AA20" s="192"/>
      <c r="AB20" s="192"/>
    </row>
    <row r="21" spans="1:31" ht="15.75" x14ac:dyDescent="0.3">
      <c r="B21" s="199" t="s">
        <v>460</v>
      </c>
      <c r="C21" s="197"/>
      <c r="D21" s="203">
        <f>G7</f>
        <v>1.9498437869278643E-17</v>
      </c>
      <c r="E21" s="197"/>
      <c r="F21" s="200"/>
      <c r="G21" s="200"/>
      <c r="H21" s="196"/>
      <c r="Y21" s="192"/>
      <c r="Z21" s="192"/>
      <c r="AA21" s="192"/>
      <c r="AB21" s="192"/>
    </row>
    <row r="22" spans="1:31" x14ac:dyDescent="0.2">
      <c r="B22" s="202" t="s">
        <v>459</v>
      </c>
      <c r="D22" s="201">
        <f>D13/((E8-E6)+(G6-G8))</f>
        <v>0</v>
      </c>
      <c r="E22" s="189" t="s">
        <v>458</v>
      </c>
      <c r="F22" s="200"/>
      <c r="G22" s="200"/>
      <c r="H22" s="196"/>
    </row>
    <row r="23" spans="1:31" x14ac:dyDescent="0.2">
      <c r="B23" s="199" t="s">
        <v>457</v>
      </c>
      <c r="C23" s="197"/>
      <c r="D23" s="198">
        <f>D22*((D19-E6)+(G6-D21))+10^(-Mash!C43)-10^(-A6)</f>
        <v>9.9000000000000005E-7</v>
      </c>
      <c r="E23" s="197" t="s">
        <v>456</v>
      </c>
      <c r="H23" s="196"/>
    </row>
    <row r="24" spans="1:31" x14ac:dyDescent="0.2">
      <c r="H24" s="196"/>
    </row>
    <row r="25" spans="1:31" x14ac:dyDescent="0.2">
      <c r="A25" s="192" t="s">
        <v>455</v>
      </c>
      <c r="B25" s="192"/>
      <c r="C25" s="192" t="s">
        <v>454</v>
      </c>
      <c r="D25" s="192" t="s">
        <v>453</v>
      </c>
      <c r="E25" s="192" t="s">
        <v>452</v>
      </c>
      <c r="F25" s="192" t="s">
        <v>451</v>
      </c>
      <c r="G25" s="192" t="s">
        <v>450</v>
      </c>
      <c r="H25" s="192" t="s">
        <v>449</v>
      </c>
      <c r="I25" s="192" t="s">
        <v>448</v>
      </c>
      <c r="J25" s="192" t="s">
        <v>447</v>
      </c>
      <c r="K25" s="192" t="s">
        <v>446</v>
      </c>
      <c r="L25" s="192" t="s">
        <v>445</v>
      </c>
      <c r="M25" s="192" t="s">
        <v>444</v>
      </c>
      <c r="N25" s="192" t="s">
        <v>443</v>
      </c>
      <c r="O25" s="192" t="s">
        <v>442</v>
      </c>
      <c r="P25" s="192"/>
    </row>
    <row r="26" spans="1:31" x14ac:dyDescent="0.2">
      <c r="P26" s="192"/>
    </row>
    <row r="27" spans="1:31" x14ac:dyDescent="0.2">
      <c r="P27" s="195" t="s">
        <v>441</v>
      </c>
    </row>
    <row r="28" spans="1:31" x14ac:dyDescent="0.2">
      <c r="A28" s="192" t="s">
        <v>440</v>
      </c>
      <c r="B28" s="192">
        <v>36.46</v>
      </c>
      <c r="C28" s="192">
        <v>-10</v>
      </c>
      <c r="D28" s="192">
        <v>20</v>
      </c>
      <c r="E28" s="192">
        <v>20</v>
      </c>
      <c r="F28" s="192">
        <f>Mash!C$43</f>
        <v>6</v>
      </c>
      <c r="G28" s="192">
        <f t="shared" ref="G28:I31" si="0">10^($F28-C28)</f>
        <v>1E+16</v>
      </c>
      <c r="H28" s="192">
        <f t="shared" si="0"/>
        <v>1E-14</v>
      </c>
      <c r="I28" s="192">
        <f t="shared" si="0"/>
        <v>1E-14</v>
      </c>
      <c r="J28" s="192">
        <f>1/(1+G28+G28*H28+G28*H28*I28)</f>
        <v>9.9999999999999E-17</v>
      </c>
      <c r="K28" s="192">
        <f>J28</f>
        <v>9.9999999999999E-17</v>
      </c>
      <c r="L28" s="192">
        <f>K28*G28</f>
        <v>0.99999999999999001</v>
      </c>
      <c r="M28" s="192">
        <f>G28*H28*J28</f>
        <v>9.9999999999999006E-15</v>
      </c>
      <c r="N28" s="192">
        <f>G28*H28*I28*J28</f>
        <v>9.9999999999998999E-29</v>
      </c>
      <c r="O28" s="194">
        <f>L28+2*M28+3*N28</f>
        <v>1.00000000000001</v>
      </c>
      <c r="P28" s="193">
        <f>D$23/O28</f>
        <v>9.899999999999901E-7</v>
      </c>
    </row>
    <row r="29" spans="1:31" x14ac:dyDescent="0.2">
      <c r="A29" s="192" t="s">
        <v>439</v>
      </c>
      <c r="B29" s="192">
        <v>98</v>
      </c>
      <c r="C29" s="192">
        <v>2.12</v>
      </c>
      <c r="D29" s="192">
        <v>7.2</v>
      </c>
      <c r="E29" s="192">
        <v>12.44</v>
      </c>
      <c r="F29" s="192">
        <f>Mash!C$43</f>
        <v>6</v>
      </c>
      <c r="G29" s="192">
        <f t="shared" si="0"/>
        <v>7585.7757502918394</v>
      </c>
      <c r="H29" s="192">
        <f t="shared" si="0"/>
        <v>6.3095734448019289E-2</v>
      </c>
      <c r="I29" s="192">
        <f t="shared" si="0"/>
        <v>3.630780547701011E-7</v>
      </c>
      <c r="J29" s="192">
        <f>1/(1+G29+G29*H29+G29*H29*I29)</f>
        <v>1.2398631860160528E-4</v>
      </c>
      <c r="K29" s="192">
        <f>J29</f>
        <v>1.2398631860160528E-4</v>
      </c>
      <c r="L29" s="192">
        <f>K29*G29</f>
        <v>0.94053240901601531</v>
      </c>
      <c r="M29" s="192">
        <f>G29*H29*J29</f>
        <v>5.9343583119030367E-2</v>
      </c>
      <c r="N29" s="192">
        <f>G29*H29*I29*J29</f>
        <v>2.1546352721945355E-8</v>
      </c>
      <c r="O29" s="194">
        <f>L29+2*M29+3*N29</f>
        <v>1.0592196398931342</v>
      </c>
      <c r="P29" s="193">
        <f>D$23/O29</f>
        <v>9.3465034324692302E-7</v>
      </c>
      <c r="AB29" s="195"/>
    </row>
    <row r="30" spans="1:31" x14ac:dyDescent="0.2">
      <c r="A30" s="192" t="s">
        <v>438</v>
      </c>
      <c r="B30" s="192">
        <v>90.08</v>
      </c>
      <c r="C30" s="192">
        <v>3.08</v>
      </c>
      <c r="D30" s="192">
        <v>20</v>
      </c>
      <c r="E30" s="192">
        <v>20</v>
      </c>
      <c r="F30" s="192">
        <f>Mash!C$43</f>
        <v>6</v>
      </c>
      <c r="G30" s="192">
        <f t="shared" si="0"/>
        <v>831.7637711026714</v>
      </c>
      <c r="H30" s="192">
        <f t="shared" si="0"/>
        <v>1E-14</v>
      </c>
      <c r="I30" s="192">
        <f t="shared" si="0"/>
        <v>1E-14</v>
      </c>
      <c r="J30" s="192">
        <f>1/(1+G30+G30*H30+G30*H30*I30)</f>
        <v>1.2008207305606959E-3</v>
      </c>
      <c r="K30" s="192">
        <f>J30</f>
        <v>1.2008207305606959E-3</v>
      </c>
      <c r="L30" s="192">
        <f>K30*G30</f>
        <v>0.99879917926942929</v>
      </c>
      <c r="M30" s="192">
        <f>G30*H30*J30</f>
        <v>9.9879917926942934E-15</v>
      </c>
      <c r="N30" s="192">
        <f>G30*H30*I30*J30</f>
        <v>9.987991792694293E-29</v>
      </c>
      <c r="O30" s="194">
        <f>L30+2*M30+3*N30</f>
        <v>0.99879917926944928</v>
      </c>
      <c r="P30" s="193">
        <f>D$23/O30</f>
        <v>9.9119024179026141E-7</v>
      </c>
      <c r="Q30" s="192"/>
      <c r="R30" s="192"/>
      <c r="S30" s="192"/>
      <c r="T30" s="192"/>
      <c r="U30" s="192"/>
      <c r="V30" s="192"/>
      <c r="W30" s="192"/>
      <c r="X30" s="192"/>
      <c r="Y30" s="192"/>
      <c r="Z30" s="192"/>
      <c r="AA30" s="192"/>
      <c r="AB30" s="192"/>
    </row>
    <row r="31" spans="1:31" x14ac:dyDescent="0.2">
      <c r="A31" s="192" t="s">
        <v>437</v>
      </c>
      <c r="B31" s="192">
        <v>98.07</v>
      </c>
      <c r="C31" s="192">
        <v>-10</v>
      </c>
      <c r="D31" s="192">
        <v>1.92</v>
      </c>
      <c r="E31" s="192">
        <v>20</v>
      </c>
      <c r="F31" s="192">
        <f>Mash!C$43</f>
        <v>6</v>
      </c>
      <c r="G31" s="192">
        <f t="shared" si="0"/>
        <v>1E+16</v>
      </c>
      <c r="H31" s="192">
        <f t="shared" si="0"/>
        <v>12022.644346174151</v>
      </c>
      <c r="I31" s="192">
        <f t="shared" si="0"/>
        <v>1E-14</v>
      </c>
      <c r="J31" s="192">
        <f>1/(1+G31+G31*H31+G31*H31*I31)</f>
        <v>8.3169459375949008E-21</v>
      </c>
      <c r="K31" s="192">
        <f>J31</f>
        <v>8.3169459375949008E-21</v>
      </c>
      <c r="L31" s="192">
        <f>K31*G31</f>
        <v>8.3169459375949013E-5</v>
      </c>
      <c r="M31" s="192">
        <f>G31*H31*J31</f>
        <v>0.99991683054061409</v>
      </c>
      <c r="N31" s="192">
        <f>G31*H31*I31*J31</f>
        <v>9.9991683054061409E-15</v>
      </c>
      <c r="O31" s="194">
        <f>L31+2*M31+3*N31</f>
        <v>1.9999168305406341</v>
      </c>
      <c r="P31" s="193">
        <f>D$23/O31</f>
        <v>4.9502058529722709E-7</v>
      </c>
      <c r="V31" s="192"/>
      <c r="W31" s="192"/>
      <c r="X31" s="192"/>
      <c r="Y31" s="192"/>
      <c r="Z31" s="192"/>
      <c r="AA31" s="192"/>
      <c r="AB31" s="192"/>
    </row>
    <row r="32" spans="1:31" x14ac:dyDescent="0.2">
      <c r="H32" s="191"/>
      <c r="V32" s="190"/>
      <c r="W32" s="190"/>
      <c r="X32" s="190"/>
      <c r="Y32" s="190"/>
      <c r="Z32" s="190"/>
      <c r="AA32" s="190"/>
      <c r="AB32" s="190"/>
    </row>
    <row r="33" spans="8:28" x14ac:dyDescent="0.2">
      <c r="V33" s="190"/>
      <c r="W33" s="190"/>
      <c r="X33" s="190"/>
      <c r="Y33" s="190"/>
      <c r="Z33" s="190"/>
      <c r="AA33" s="190"/>
      <c r="AB33" s="190"/>
    </row>
    <row r="34" spans="8:28" x14ac:dyDescent="0.2">
      <c r="H34" s="191"/>
      <c r="V34" s="190"/>
      <c r="W34" s="190"/>
      <c r="X34" s="190"/>
      <c r="Y34" s="190"/>
      <c r="Z34" s="190"/>
      <c r="AA34" s="190"/>
      <c r="AB34" s="190"/>
    </row>
    <row r="35" spans="8:28" x14ac:dyDescent="0.2">
      <c r="H35" s="191"/>
      <c r="V35" s="190"/>
      <c r="W35" s="190"/>
      <c r="X35" s="190"/>
      <c r="Y35" s="190"/>
      <c r="Z35" s="190"/>
      <c r="AA35" s="190"/>
      <c r="AB35" s="190"/>
    </row>
    <row r="36" spans="8:28" x14ac:dyDescent="0.2">
      <c r="H36" s="191"/>
      <c r="V36" s="190"/>
      <c r="W36" s="190"/>
      <c r="X36" s="190"/>
      <c r="Y36" s="190"/>
      <c r="Z36" s="190"/>
      <c r="AA36" s="190"/>
      <c r="AB36" s="190"/>
    </row>
    <row r="37" spans="8:28" x14ac:dyDescent="0.2">
      <c r="H37" s="191"/>
      <c r="V37" s="190"/>
      <c r="W37" s="190"/>
      <c r="X37" s="190"/>
      <c r="Y37" s="190"/>
      <c r="Z37" s="190"/>
      <c r="AA37" s="190"/>
      <c r="AB37" s="190"/>
    </row>
    <row r="38" spans="8:28" x14ac:dyDescent="0.2">
      <c r="H38" s="191"/>
      <c r="V38" s="190"/>
      <c r="W38" s="190"/>
      <c r="X38" s="190"/>
      <c r="Y38" s="190"/>
      <c r="Z38" s="190"/>
      <c r="AA38" s="190"/>
      <c r="AB38" s="190"/>
    </row>
    <row r="39" spans="8:28" x14ac:dyDescent="0.2">
      <c r="H39" s="191"/>
      <c r="V39" s="190"/>
      <c r="W39" s="190"/>
      <c r="X39" s="190"/>
      <c r="Y39" s="190"/>
      <c r="Z39" s="190"/>
      <c r="AA39" s="190"/>
      <c r="AB39" s="190"/>
    </row>
    <row r="40" spans="8:28" x14ac:dyDescent="0.2">
      <c r="H40" s="191"/>
      <c r="V40" s="190"/>
      <c r="W40" s="190"/>
      <c r="X40" s="190"/>
      <c r="Y40" s="190"/>
      <c r="Z40" s="190"/>
      <c r="AA40" s="190"/>
      <c r="AB40" s="190"/>
    </row>
    <row r="41" spans="8:28" x14ac:dyDescent="0.2">
      <c r="H41" s="191"/>
      <c r="V41" s="190"/>
      <c r="W41" s="190"/>
      <c r="X41" s="190"/>
      <c r="Y41" s="190"/>
      <c r="Z41" s="190"/>
      <c r="AA41" s="190"/>
      <c r="AB41" s="190"/>
    </row>
    <row r="42" spans="8:28" x14ac:dyDescent="0.2">
      <c r="H42" s="191"/>
      <c r="M42" s="190"/>
      <c r="N42" s="190"/>
      <c r="U42" s="190"/>
      <c r="V42" s="190"/>
      <c r="W42" s="190"/>
      <c r="X42" s="190"/>
      <c r="Y42" s="190"/>
      <c r="Z42" s="190"/>
      <c r="AA42" s="190"/>
      <c r="AB42" s="190"/>
    </row>
    <row r="43" spans="8:28" x14ac:dyDescent="0.2">
      <c r="H43" s="191"/>
      <c r="M43" s="190"/>
      <c r="N43" s="190"/>
      <c r="O43" s="190"/>
      <c r="P43" s="190"/>
      <c r="Q43" s="190"/>
      <c r="R43" s="190"/>
      <c r="S43" s="190"/>
      <c r="T43" s="190"/>
      <c r="U43" s="190"/>
      <c r="V43" s="190"/>
      <c r="W43" s="190"/>
      <c r="X43" s="190"/>
      <c r="Y43" s="190"/>
      <c r="Z43" s="190"/>
      <c r="AA43" s="190"/>
      <c r="AB43" s="190"/>
    </row>
    <row r="44" spans="8:28" x14ac:dyDescent="0.2">
      <c r="H44" s="191"/>
      <c r="M44" s="190"/>
      <c r="N44" s="190"/>
      <c r="O44" s="190"/>
      <c r="P44" s="190"/>
      <c r="Q44" s="190"/>
      <c r="R44" s="190"/>
      <c r="S44" s="190"/>
      <c r="T44" s="190"/>
      <c r="U44" s="190"/>
      <c r="V44" s="190"/>
      <c r="W44" s="190"/>
      <c r="X44" s="190"/>
      <c r="Y44" s="190"/>
      <c r="Z44" s="190"/>
      <c r="AA44" s="190"/>
      <c r="AB44" s="190"/>
    </row>
    <row r="45" spans="8:28" x14ac:dyDescent="0.2">
      <c r="H45" s="191"/>
      <c r="M45" s="190"/>
      <c r="N45" s="190"/>
      <c r="O45" s="190"/>
      <c r="P45" s="190"/>
      <c r="Q45" s="190"/>
      <c r="R45" s="190"/>
      <c r="S45" s="190"/>
      <c r="T45" s="190"/>
      <c r="U45" s="190"/>
      <c r="V45" s="190"/>
      <c r="W45" s="190"/>
      <c r="X45" s="190"/>
      <c r="Y45" s="190"/>
      <c r="Z45" s="190"/>
      <c r="AA45" s="190"/>
      <c r="AB45" s="190"/>
    </row>
  </sheetData>
  <pageMargins left="0.75" right="0.75" top="1" bottom="1" header="0.5" footer="0.5"/>
  <pageSetup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22</vt:i4>
      </vt:variant>
    </vt:vector>
  </HeadingPairs>
  <TitlesOfParts>
    <vt:vector size="32" baseType="lpstr">
      <vt:lpstr>Main</vt:lpstr>
      <vt:lpstr>GrainBill</vt:lpstr>
      <vt:lpstr>HopSchedule</vt:lpstr>
      <vt:lpstr>Adjuncts</vt:lpstr>
      <vt:lpstr>Refractometer</vt:lpstr>
      <vt:lpstr>BatchAnalytics</vt:lpstr>
      <vt:lpstr>Catalog</vt:lpstr>
      <vt:lpstr>Constants</vt:lpstr>
      <vt:lpstr>Scratch</vt:lpstr>
      <vt:lpstr>Mash</vt:lpstr>
      <vt:lpstr>Acid_List</vt:lpstr>
      <vt:lpstr>Adjucts</vt:lpstr>
      <vt:lpstr>Adjunct_Table</vt:lpstr>
      <vt:lpstr>Adjunct_Total</vt:lpstr>
      <vt:lpstr>Adjuncts</vt:lpstr>
      <vt:lpstr>Adjuncts_Table</vt:lpstr>
      <vt:lpstr>Batch_IBU</vt:lpstr>
      <vt:lpstr>BrewhouseEfficiency</vt:lpstr>
      <vt:lpstr>BrewStart</vt:lpstr>
      <vt:lpstr>CaCO3</vt:lpstr>
      <vt:lpstr>Carbo</vt:lpstr>
      <vt:lpstr>Grainbill_Total</vt:lpstr>
      <vt:lpstr>GrainGravity</vt:lpstr>
      <vt:lpstr>GrainsAndMalts</vt:lpstr>
      <vt:lpstr>GrainsAndMalts_Table</vt:lpstr>
      <vt:lpstr>Hop_Total</vt:lpstr>
      <vt:lpstr>Hop_Usage</vt:lpstr>
      <vt:lpstr>Hops</vt:lpstr>
      <vt:lpstr>Hops_Table</vt:lpstr>
      <vt:lpstr>Yeast</vt:lpstr>
      <vt:lpstr>Yeast_Table</vt:lpstr>
      <vt:lpstr>Yeasts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2011-02-05T23:04:13Z</cp:lastPrinted>
  <dcterms:created xsi:type="dcterms:W3CDTF">2010-10-05T06:33:35Z</dcterms:created>
  <dcterms:modified xsi:type="dcterms:W3CDTF">2012-10-31T04:16:35Z</dcterms:modified>
</cp:coreProperties>
</file>